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comments1.xml" ContentType="application/vnd.openxmlformats-officedocument.spreadsheetml.comments+xml"/>
  <Override PartName="/xl/drawings/drawing2.xml" ContentType="application/vnd.openxmlformats-officedocument.drawing+xml"/>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saveExternalLinkValues="0" codeName="DieseArbeitsmappe"/>
  <mc:AlternateContent xmlns:mc="http://schemas.openxmlformats.org/markup-compatibility/2006">
    <mc:Choice Requires="x15">
      <x15ac:absPath xmlns:x15ac="http://schemas.microsoft.com/office/spreadsheetml/2010/11/ac" url="C:\Users\Ich\Desktop\"/>
    </mc:Choice>
  </mc:AlternateContent>
  <xr:revisionPtr revIDLastSave="0" documentId="13_ncr:1_{D86D6B23-AFA3-4AF2-85D9-680F58412ED8}" xr6:coauthVersionLast="46" xr6:coauthVersionMax="46" xr10:uidLastSave="{00000000-0000-0000-0000-000000000000}"/>
  <bookViews>
    <workbookView xWindow="-120" yWindow="-120" windowWidth="24240" windowHeight="13740" firstSheet="1" activeTab="4" xr2:uid="{00000000-000D-0000-FFFF-FFFF00000000}"/>
  </bookViews>
  <sheets>
    <sheet name="Stammdaten" sheetId="13" r:id="rId1"/>
    <sheet name="Gehaltsabrechnung" sheetId="44" r:id="rId2"/>
    <sheet name="Lohnkonto" sheetId="58" r:id="rId3"/>
    <sheet name="Anleitung" sheetId="66" r:id="rId4"/>
    <sheet name="Vorsorgetabelle" sheetId="68" r:id="rId5"/>
    <sheet name="Tabelle1" sheetId="69" r:id="rId6"/>
    <sheet name="Beitragsbemessungsgrenzen" sheetId="67" r:id="rId7"/>
  </sheets>
  <definedNames>
    <definedName name="_xlnm.Print_Area" localSheetId="1">Gehaltsabrechnung!$A$1:$Q$67</definedName>
    <definedName name="_xlnm.Print_Area" localSheetId="2">Lohnkonto!$A$1:$O$54</definedName>
    <definedName name="gebdatum">Stammdaten!$C$25</definedName>
    <definedName name="gewJahr">Stammdaten!$B$3</definedName>
  </definedNames>
  <calcPr calcId="181029"/>
</workbook>
</file>

<file path=xl/calcChain.xml><?xml version="1.0" encoding="utf-8"?>
<calcChain xmlns="http://schemas.openxmlformats.org/spreadsheetml/2006/main">
  <c r="J15" i="68" l="1"/>
  <c r="J16" i="68"/>
  <c r="I25" i="68"/>
  <c r="H25" i="68"/>
  <c r="E7" i="44"/>
  <c r="E16" i="44"/>
  <c r="L8" i="44" s="1"/>
  <c r="I57" i="44"/>
  <c r="J57" i="44" s="1"/>
  <c r="M21" i="68"/>
  <c r="L29" i="68"/>
  <c r="L37" i="68"/>
  <c r="L33" i="68"/>
  <c r="L25" i="68"/>
  <c r="H35" i="68"/>
  <c r="I35" i="68" s="1"/>
  <c r="I31" i="68"/>
  <c r="I27" i="68"/>
  <c r="I23" i="68"/>
  <c r="H23" i="68"/>
  <c r="H31" i="68"/>
  <c r="H27" i="68"/>
  <c r="M20" i="68"/>
  <c r="J21" i="68"/>
  <c r="J20" i="68"/>
  <c r="I45" i="68"/>
  <c r="K45" i="68"/>
  <c r="I46" i="68"/>
  <c r="K46" i="68" s="1"/>
  <c r="I47" i="68"/>
  <c r="K47" i="68"/>
  <c r="R27" i="44"/>
  <c r="Q27" i="44"/>
  <c r="Q29" i="44"/>
  <c r="P27" i="44"/>
  <c r="P36" i="44"/>
  <c r="P33" i="44"/>
  <c r="P29" i="44"/>
  <c r="F13" i="44"/>
  <c r="F12" i="44"/>
  <c r="F11" i="44"/>
  <c r="H33" i="44"/>
  <c r="H32" i="44"/>
  <c r="K60" i="44" s="1"/>
  <c r="H36" i="44"/>
  <c r="J33" i="44"/>
  <c r="J3" i="68"/>
  <c r="I3" i="68"/>
  <c r="L3" i="68" s="1"/>
  <c r="E22" i="68"/>
  <c r="E23" i="68"/>
  <c r="E24" i="68"/>
  <c r="E25" i="68"/>
  <c r="E26" i="68"/>
  <c r="E27" i="68"/>
  <c r="E28" i="68"/>
  <c r="E29" i="68"/>
  <c r="E30" i="68"/>
  <c r="E31" i="68"/>
  <c r="E32" i="68"/>
  <c r="E33" i="68"/>
  <c r="E34" i="68"/>
  <c r="E35" i="68"/>
  <c r="E36" i="68"/>
  <c r="E37" i="68"/>
  <c r="E38" i="68"/>
  <c r="E39" i="68"/>
  <c r="E40" i="68"/>
  <c r="E5" i="68"/>
  <c r="E6" i="68"/>
  <c r="E7" i="68"/>
  <c r="E8" i="68"/>
  <c r="E9" i="68"/>
  <c r="E10" i="68"/>
  <c r="E11" i="68"/>
  <c r="E12" i="68"/>
  <c r="E13" i="68"/>
  <c r="E14" i="68"/>
  <c r="E15" i="68"/>
  <c r="E16" i="68"/>
  <c r="E17" i="68"/>
  <c r="E18" i="68"/>
  <c r="E19" i="68"/>
  <c r="E20" i="68"/>
  <c r="E21" i="68"/>
  <c r="G53" i="44"/>
  <c r="K9" i="44"/>
  <c r="N11" i="44"/>
  <c r="M11" i="44"/>
  <c r="O18" i="44"/>
  <c r="H16" i="44"/>
  <c r="H53" i="44" s="1"/>
  <c r="P9" i="44"/>
  <c r="H55" i="44" s="1"/>
  <c r="I55" i="44"/>
  <c r="F48" i="44"/>
  <c r="G48" i="44"/>
  <c r="G4" i="68"/>
  <c r="F3" i="68" l="1"/>
  <c r="F21" i="68"/>
  <c r="H21" i="68" s="1"/>
  <c r="F20" i="68"/>
  <c r="H20" i="68" s="1"/>
  <c r="J36" i="44"/>
  <c r="M36" i="44" s="1"/>
  <c r="N3" i="68"/>
  <c r="O3" i="68" s="1"/>
  <c r="K3" i="68"/>
  <c r="I33" i="44"/>
  <c r="I21" i="68" l="1"/>
  <c r="K21" i="68"/>
  <c r="I20" i="68"/>
  <c r="K20" i="68" s="1"/>
  <c r="Q36" i="44"/>
  <c r="R36" i="44"/>
  <c r="XFD40" i="13"/>
  <c r="J15" i="44"/>
  <c r="E2" i="68"/>
  <c r="F4" i="68" s="1"/>
  <c r="H4" i="68" s="1"/>
  <c r="N13" i="58"/>
  <c r="L20" i="68" l="1"/>
  <c r="N20" i="68"/>
  <c r="O20" i="68" s="1"/>
  <c r="L21" i="68"/>
  <c r="N21" i="68"/>
  <c r="O21" i="68" s="1"/>
  <c r="Q9" i="44"/>
  <c r="E4" i="68"/>
  <c r="G80" i="67"/>
  <c r="G81" i="67" s="1"/>
  <c r="G82" i="67" s="1"/>
  <c r="G83" i="67" s="1"/>
  <c r="G84" i="67" s="1"/>
  <c r="G85" i="67" s="1"/>
  <c r="G86" i="67" s="1"/>
  <c r="F80" i="67"/>
  <c r="F81" i="67" s="1"/>
  <c r="F82" i="67" s="1"/>
  <c r="F83" i="67" s="1"/>
  <c r="F84" i="67" s="1"/>
  <c r="F85" i="67" s="1"/>
  <c r="F86" i="67" s="1"/>
  <c r="E80" i="67"/>
  <c r="E81" i="67"/>
  <c r="E82" i="67"/>
  <c r="E83" i="67"/>
  <c r="E84" i="67"/>
  <c r="E85" i="67"/>
  <c r="E86" i="67"/>
  <c r="D80" i="67"/>
  <c r="D81" i="67"/>
  <c r="D82" i="67"/>
  <c r="D83" i="67"/>
  <c r="D84" i="67"/>
  <c r="D85" i="67"/>
  <c r="D86" i="67"/>
  <c r="C80" i="67"/>
  <c r="C81" i="67" s="1"/>
  <c r="C82" i="67" s="1"/>
  <c r="C83" i="67" s="1"/>
  <c r="C84" i="67" s="1"/>
  <c r="C85" i="67" s="1"/>
  <c r="C86" i="67" s="1"/>
  <c r="A80" i="67"/>
  <c r="B80" i="67" s="1"/>
  <c r="A81" i="67" s="1"/>
  <c r="B81" i="67" s="1"/>
  <c r="A82" i="67" s="1"/>
  <c r="B82" i="67" s="1"/>
  <c r="A83" i="67" s="1"/>
  <c r="B83" i="67" s="1"/>
  <c r="A84" i="67" s="1"/>
  <c r="B84" i="67" s="1"/>
  <c r="A85" i="67" s="1"/>
  <c r="B85" i="67" s="1"/>
  <c r="A86" i="67" s="1"/>
  <c r="B86" i="67" s="1"/>
  <c r="M9" i="44"/>
  <c r="G77" i="67"/>
  <c r="G78" i="67" s="1"/>
  <c r="G79" i="67" s="1"/>
  <c r="F74" i="67"/>
  <c r="F75" i="67" s="1"/>
  <c r="F76" i="67" s="1"/>
  <c r="F77" i="67" s="1"/>
  <c r="F78" i="67" s="1"/>
  <c r="F79" i="67" s="1"/>
  <c r="C74" i="67"/>
  <c r="E74" i="67" s="1"/>
  <c r="A55" i="67"/>
  <c r="B55" i="67" s="1"/>
  <c r="A46" i="67"/>
  <c r="B46" i="67" s="1"/>
  <c r="A47" i="67" s="1"/>
  <c r="B47" i="67" s="1"/>
  <c r="A48" i="67" s="1"/>
  <c r="B48" i="67" s="1"/>
  <c r="A49" i="67" s="1"/>
  <c r="B49" i="67" s="1"/>
  <c r="A50" i="67" s="1"/>
  <c r="B50" i="67" s="1"/>
  <c r="A51" i="67" s="1"/>
  <c r="B51" i="67" s="1"/>
  <c r="A52" i="67" s="1"/>
  <c r="B52" i="67" s="1"/>
  <c r="A45" i="67"/>
  <c r="A39" i="67"/>
  <c r="B39" i="67" s="1"/>
  <c r="A40" i="67" s="1"/>
  <c r="B40" i="67" s="1"/>
  <c r="A41" i="67" s="1"/>
  <c r="B41" i="67" s="1"/>
  <c r="A42" i="67" s="1"/>
  <c r="B42" i="67" s="1"/>
  <c r="A43" i="67" s="1"/>
  <c r="B43" i="67" s="1"/>
  <c r="A44" i="67" s="1"/>
  <c r="A38" i="67"/>
  <c r="A36" i="67"/>
  <c r="B36" i="67" s="1"/>
  <c r="A37" i="67" s="1"/>
  <c r="B9" i="67"/>
  <c r="A10" i="67" s="1"/>
  <c r="B10" i="67" s="1"/>
  <c r="A11" i="67" s="1"/>
  <c r="B11" i="67" s="1"/>
  <c r="A12" i="67" s="1"/>
  <c r="B12" i="67" s="1"/>
  <c r="A13" i="67" s="1"/>
  <c r="B13" i="67" s="1"/>
  <c r="A14" i="67" s="1"/>
  <c r="B14" i="67" s="1"/>
  <c r="A15" i="67" s="1"/>
  <c r="B15" i="67" s="1"/>
  <c r="A16" i="67" s="1"/>
  <c r="B16" i="67" s="1"/>
  <c r="A17" i="67" s="1"/>
  <c r="B17" i="67" s="1"/>
  <c r="A18" i="67" s="1"/>
  <c r="B18" i="67" s="1"/>
  <c r="A19" i="67" s="1"/>
  <c r="B19" i="67" s="1"/>
  <c r="A20" i="67" s="1"/>
  <c r="B20" i="67" s="1"/>
  <c r="A21" i="67" s="1"/>
  <c r="B21" i="67" s="1"/>
  <c r="A22" i="67" s="1"/>
  <c r="B22" i="67" s="1"/>
  <c r="A23" i="67" s="1"/>
  <c r="B23" i="67" s="1"/>
  <c r="A24" i="67" s="1"/>
  <c r="B24" i="67" s="1"/>
  <c r="A25" i="67" s="1"/>
  <c r="B25" i="67" s="1"/>
  <c r="A26" i="67" s="1"/>
  <c r="B26" i="67" s="1"/>
  <c r="A27" i="67" s="1"/>
  <c r="B27" i="67" s="1"/>
  <c r="A28" i="67" s="1"/>
  <c r="B28" i="67" s="1"/>
  <c r="A29" i="67" s="1"/>
  <c r="B29" i="67" s="1"/>
  <c r="A30" i="67" s="1"/>
  <c r="B30" i="67" s="1"/>
  <c r="A31" i="67" s="1"/>
  <c r="B31" i="67" s="1"/>
  <c r="A32" i="67" s="1"/>
  <c r="B32" i="67" s="1"/>
  <c r="A33" i="67" s="1"/>
  <c r="B33" i="67" s="1"/>
  <c r="A34" i="67" s="1"/>
  <c r="C1" i="67"/>
  <c r="Q10" i="44" l="1"/>
  <c r="P10" i="44" s="1"/>
  <c r="K61" i="44"/>
  <c r="A56" i="67"/>
  <c r="B56" i="67" s="1"/>
  <c r="D55" i="67"/>
  <c r="C75" i="67"/>
  <c r="E75" i="67" l="1"/>
  <c r="C76" i="67"/>
  <c r="D56" i="67"/>
  <c r="A57" i="67"/>
  <c r="B57" i="67" s="1"/>
  <c r="A58" i="67" l="1"/>
  <c r="B58" i="67" s="1"/>
  <c r="D57" i="67"/>
  <c r="E76" i="67"/>
  <c r="C77" i="67"/>
  <c r="E77" i="67" l="1"/>
  <c r="C78" i="67"/>
  <c r="D58" i="67"/>
  <c r="A59" i="67"/>
  <c r="B59" i="67" s="1"/>
  <c r="A60" i="67" l="1"/>
  <c r="B60" i="67" s="1"/>
  <c r="D59" i="67"/>
  <c r="C79" i="67"/>
  <c r="E79" i="67" s="1"/>
  <c r="E78" i="67"/>
  <c r="A61" i="67" l="1"/>
  <c r="B61" i="67" s="1"/>
  <c r="D60" i="67"/>
  <c r="A62" i="67" l="1"/>
  <c r="B62" i="67" s="1"/>
  <c r="D61" i="67"/>
  <c r="D62" i="67" l="1"/>
  <c r="A63" i="67"/>
  <c r="B63" i="67" s="1"/>
  <c r="A64" i="67" l="1"/>
  <c r="B64" i="67" s="1"/>
  <c r="D63" i="67"/>
  <c r="D64" i="67" l="1"/>
  <c r="A65" i="67"/>
  <c r="B65" i="67" s="1"/>
  <c r="A66" i="67" l="1"/>
  <c r="B66" i="67" s="1"/>
  <c r="D65" i="67"/>
  <c r="D66" i="67" l="1"/>
  <c r="A67" i="67"/>
  <c r="B67" i="67" s="1"/>
  <c r="A68" i="67" l="1"/>
  <c r="B68" i="67" s="1"/>
  <c r="D67" i="67"/>
  <c r="A69" i="67" l="1"/>
  <c r="B69" i="67" s="1"/>
  <c r="D68" i="67"/>
  <c r="A70" i="67" l="1"/>
  <c r="B70" i="67" s="1"/>
  <c r="D69" i="67"/>
  <c r="D70" i="67" l="1"/>
  <c r="A71" i="67"/>
  <c r="B71" i="67" s="1"/>
  <c r="A72" i="67" l="1"/>
  <c r="B72" i="67" s="1"/>
  <c r="D71" i="67"/>
  <c r="A73" i="67" l="1"/>
  <c r="B73" i="67" s="1"/>
  <c r="D72" i="67"/>
  <c r="A74" i="67" l="1"/>
  <c r="B74" i="67" s="1"/>
  <c r="D73" i="67"/>
  <c r="A75" i="67" l="1"/>
  <c r="B75" i="67" s="1"/>
  <c r="D74" i="67"/>
  <c r="A76" i="67" l="1"/>
  <c r="B76" i="67" s="1"/>
  <c r="D75" i="67"/>
  <c r="A77" i="67" l="1"/>
  <c r="B77" i="67" s="1"/>
  <c r="D76" i="67"/>
  <c r="A78" i="67" l="1"/>
  <c r="B78" i="67" s="1"/>
  <c r="D77" i="67"/>
  <c r="A79" i="67" l="1"/>
  <c r="B79" i="67" s="1"/>
  <c r="D79" i="67" s="1"/>
  <c r="D78" i="67"/>
  <c r="I9" i="44" l="1"/>
  <c r="H29" i="44"/>
  <c r="K12" i="44" l="1"/>
  <c r="L33" i="44" l="1"/>
  <c r="L36" i="44"/>
  <c r="M8" i="44"/>
  <c r="M7" i="44"/>
  <c r="L7" i="44"/>
  <c r="K8" i="44"/>
  <c r="M15" i="44" l="1"/>
  <c r="O45" i="58"/>
  <c r="M45" i="58"/>
  <c r="L45" i="58"/>
  <c r="I13" i="58"/>
  <c r="J13" i="44"/>
  <c r="E6" i="44"/>
  <c r="C3" i="44"/>
  <c r="C5" i="44"/>
  <c r="C4" i="44"/>
  <c r="D36" i="44"/>
  <c r="M26" i="44"/>
  <c r="I29" i="44"/>
  <c r="J29" i="44" s="1"/>
  <c r="M55" i="44"/>
  <c r="O36" i="44"/>
  <c r="M29" i="44"/>
  <c r="L13" i="44"/>
  <c r="O29" i="44" l="1"/>
  <c r="R29" i="44"/>
  <c r="S29" i="44" s="1"/>
  <c r="K38" i="44"/>
  <c r="K55" i="44" s="1"/>
  <c r="L55" i="44" l="1"/>
  <c r="N55" i="44"/>
  <c r="O55" i="44" s="1"/>
  <c r="G53" i="58"/>
  <c r="K53" i="58"/>
  <c r="O53" i="58"/>
  <c r="H53" i="58"/>
  <c r="L53" i="58"/>
  <c r="D53" i="58"/>
  <c r="E53" i="58"/>
  <c r="I53" i="58"/>
  <c r="M53" i="58"/>
  <c r="F53" i="58"/>
  <c r="J53" i="58"/>
  <c r="N53" i="58"/>
  <c r="E45" i="58"/>
  <c r="F45" i="58"/>
  <c r="G45" i="58"/>
  <c r="H45" i="58"/>
  <c r="I45" i="58"/>
  <c r="J45" i="58"/>
  <c r="K45" i="58"/>
  <c r="N45" i="58"/>
  <c r="D45" i="58"/>
  <c r="L29" i="44"/>
  <c r="I32" i="44"/>
  <c r="J38" i="44" l="1"/>
  <c r="J41" i="44" s="1"/>
  <c r="I36" i="44"/>
  <c r="I38" i="44" s="1"/>
  <c r="L38" i="44" s="1"/>
  <c r="C45" i="58"/>
  <c r="C53" i="58"/>
  <c r="C54" i="58"/>
  <c r="E9" i="44"/>
  <c r="E4" i="44"/>
  <c r="D33" i="44" s="1"/>
  <c r="C20" i="58"/>
  <c r="E11" i="44"/>
  <c r="C6" i="44"/>
  <c r="F6" i="44" s="1"/>
  <c r="E8" i="44"/>
  <c r="C9" i="44"/>
  <c r="E10" i="44"/>
  <c r="E13" i="44"/>
  <c r="G20" i="44"/>
  <c r="G21" i="44"/>
  <c r="D30" i="44"/>
  <c r="G38" i="44"/>
  <c r="H38" i="44" s="1"/>
  <c r="G42" i="44"/>
  <c r="G43" i="44"/>
  <c r="G44" i="44"/>
  <c r="G45" i="44"/>
  <c r="C2" i="58"/>
  <c r="D2" i="58"/>
  <c r="C7" i="58"/>
  <c r="C64" i="44" s="1"/>
  <c r="C8" i="58"/>
  <c r="C9" i="58"/>
  <c r="G64" i="44" s="1"/>
  <c r="C10" i="58"/>
  <c r="C11" i="58"/>
  <c r="C13" i="58"/>
  <c r="C65" i="44" s="1"/>
  <c r="C15" i="58"/>
  <c r="C67" i="44" s="1"/>
  <c r="C17" i="58"/>
  <c r="C66" i="44" s="1"/>
  <c r="C19" i="58"/>
  <c r="E64" i="44" s="1"/>
  <c r="C21" i="58"/>
  <c r="E65" i="44" s="1"/>
  <c r="C22" i="58"/>
  <c r="E66" i="44" s="1"/>
  <c r="C23" i="58"/>
  <c r="E67" i="44" s="1"/>
  <c r="C26" i="58"/>
  <c r="C27" i="58"/>
  <c r="C28" i="58"/>
  <c r="C29" i="58"/>
  <c r="C30" i="58"/>
  <c r="C31" i="58"/>
  <c r="C32" i="58"/>
  <c r="C33" i="58"/>
  <c r="C35" i="58"/>
  <c r="G65" i="44" s="1"/>
  <c r="C36" i="58"/>
  <c r="C37" i="58"/>
  <c r="C38" i="58"/>
  <c r="C39" i="58"/>
  <c r="G67" i="44" s="1"/>
  <c r="K41" i="58"/>
  <c r="G46" i="44" l="1"/>
  <c r="M33" i="44"/>
  <c r="M20" i="44" s="1"/>
  <c r="N20" i="44" s="1"/>
  <c r="D32" i="44"/>
  <c r="Q33" i="44" l="1"/>
  <c r="R33" i="44"/>
  <c r="O33" i="44"/>
  <c r="M42" i="44"/>
  <c r="P8" i="44"/>
  <c r="K13" i="44" s="1"/>
  <c r="M27" i="44" l="1"/>
  <c r="O27" i="44" s="1"/>
  <c r="M13" i="44"/>
  <c r="G26" i="44" s="1"/>
  <c r="O12" i="44"/>
  <c r="H26" i="44" l="1"/>
  <c r="C26" i="13"/>
  <c r="E41" i="58" s="1"/>
  <c r="O13" i="44"/>
  <c r="P13" i="44"/>
  <c r="E12" i="4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Wolfgang</author>
    <author>Parmentier</author>
  </authors>
  <commentList>
    <comment ref="B17" authorId="0" shapeId="0" xr:uid="{00000000-0006-0000-0000-000001000000}">
      <text>
        <r>
          <rPr>
            <sz val="9"/>
            <color indexed="81"/>
            <rFont val="Tahoma"/>
            <family val="2"/>
          </rPr>
          <t>Hier den Krankenversicherungsbeitragssatz 
eintragen (nur 14,0% und 14,6% erlaubt) bzw. die Prämie der privaten Krankenversicherung. Wird zur Berechnung der Sozialversicherungs-abgaben benötigt und zur Berechnung des Arbeitgeberzuschusses.
Freiwillig Versicherte: Bei (gesetzlichem) Arbeitgeberzuschuss Einstellung wie bei gesetzlich Krankenversicherten; ohne Arbeitgeberzuschuss Einstellung wie bei privat Versicherten.</t>
        </r>
      </text>
    </comment>
    <comment ref="B19" authorId="0" shapeId="0" xr:uid="{00000000-0006-0000-0000-000002000000}">
      <text>
        <r>
          <rPr>
            <sz val="9"/>
            <color indexed="81"/>
            <rFont val="Tahoma"/>
            <family val="2"/>
          </rPr>
          <t>Der</t>
        </r>
        <r>
          <rPr>
            <b/>
            <sz val="9"/>
            <color indexed="81"/>
            <rFont val="Tahoma"/>
            <family val="2"/>
          </rPr>
          <t xml:space="preserve"> Basistarif</t>
        </r>
        <r>
          <rPr>
            <sz val="9"/>
            <color indexed="81"/>
            <rFont val="Tahoma"/>
            <family val="2"/>
          </rPr>
          <t xml:space="preserve"> ist bei</t>
        </r>
        <r>
          <rPr>
            <b/>
            <sz val="9"/>
            <color indexed="81"/>
            <rFont val="Tahoma"/>
            <family val="2"/>
          </rPr>
          <t xml:space="preserve"> privat Versicherten</t>
        </r>
        <r>
          <rPr>
            <sz val="9"/>
            <color indexed="81"/>
            <rFont val="Tahoma"/>
            <family val="2"/>
          </rPr>
          <t xml:space="preserve"> zur Berechnung der Vorsorgepauschale notwendig. Davon wird dann ein erniedrigter (0,67% +PV-Anteil)  Arbeitgeberzuschuss abgezogen (wenn angegeben).</t>
        </r>
        <r>
          <rPr>
            <sz val="8"/>
            <color indexed="81"/>
            <rFont val="Tahoma"/>
            <family val="2"/>
          </rPr>
          <t xml:space="preserve">
</t>
        </r>
      </text>
    </comment>
    <comment ref="B24" authorId="0" shapeId="0" xr:uid="{00000000-0006-0000-0000-000003000000}">
      <text>
        <r>
          <rPr>
            <b/>
            <sz val="9"/>
            <color indexed="81"/>
            <rFont val="Tahoma"/>
            <family val="2"/>
          </rPr>
          <t>Kirchensteuersatz:</t>
        </r>
        <r>
          <rPr>
            <sz val="9"/>
            <color indexed="81"/>
            <rFont val="Tahoma"/>
            <family val="2"/>
          </rPr>
          <t xml:space="preserve"> in Baden-Württemberg und Bayern 8%, sonst 9%</t>
        </r>
        <r>
          <rPr>
            <sz val="8"/>
            <color indexed="81"/>
            <rFont val="Tahoma"/>
            <family val="2"/>
          </rPr>
          <t xml:space="preserve">
</t>
        </r>
      </text>
    </comment>
    <comment ref="B37" authorId="1" shapeId="0" xr:uid="{00000000-0006-0000-0000-000004000000}">
      <text>
        <r>
          <rPr>
            <sz val="8"/>
            <color indexed="81"/>
            <rFont val="Tahoma"/>
            <family val="2"/>
          </rPr>
          <t xml:space="preserve">Werte bis 10 werden als Prozent (des Bemessungsbetrags Rentenversicherung), Werte darüber als Festbeträge übernommen.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Kleyer</author>
  </authors>
  <commentList>
    <comment ref="I32" authorId="0" shapeId="0" xr:uid="{5189AF97-8F49-4DED-8557-F05DE84195B6}">
      <text>
        <r>
          <rPr>
            <sz val="9"/>
            <color indexed="81"/>
            <rFont val="Segoe UI"/>
            <family val="2"/>
          </rPr>
          <t xml:space="preserve">14,6% * Bruttolohn
</t>
        </r>
      </text>
    </comment>
    <comment ref="I33" authorId="0" shapeId="0" xr:uid="{4CDBE691-FE1B-4724-ACC9-6E49A0E86C91}">
      <text>
        <r>
          <rPr>
            <sz val="9"/>
            <color indexed="81"/>
            <rFont val="Segoe UI"/>
            <family val="2"/>
          </rPr>
          <t xml:space="preserve">1,2% * Bruttolohn
</t>
        </r>
      </text>
    </comment>
  </commentList>
</comments>
</file>

<file path=xl/sharedStrings.xml><?xml version="1.0" encoding="utf-8"?>
<sst xmlns="http://schemas.openxmlformats.org/spreadsheetml/2006/main" count="474" uniqueCount="385">
  <si>
    <t>Stammdaten-Blatt:</t>
  </si>
  <si>
    <t>Lohnkonto-Blatt:</t>
  </si>
  <si>
    <t>Gehaltsabrechnung-Blatt:</t>
  </si>
  <si>
    <t xml:space="preserve">- Außer den gelb unterlegten sind die Zellen nicht zum Be-/Überschreiben. Die Werte werden mit Zellfunktionen z.B aus </t>
  </si>
  <si>
    <t xml:space="preserve">- Für die Lohnbesteuerung sind die entsprechenden Daten aus der Lohnsteuerkarte des Arbeitnehmers einzutragen. </t>
  </si>
  <si>
    <t>€</t>
  </si>
  <si>
    <t>Steuerklasse 1 - 6</t>
  </si>
  <si>
    <t>(Jahres)lohnsteuerfreibetrag auf LStKarte</t>
  </si>
  <si>
    <t>%</t>
  </si>
  <si>
    <t>Solidaritätszuschlag</t>
  </si>
  <si>
    <t>Kirchensteuer</t>
  </si>
  <si>
    <t>(Jahres)hinzurechnungsbetrag</t>
  </si>
  <si>
    <t>Gesamt</t>
  </si>
  <si>
    <t>Januar</t>
  </si>
  <si>
    <t>März</t>
  </si>
  <si>
    <t>April</t>
  </si>
  <si>
    <t>Juni</t>
  </si>
  <si>
    <t>Stunden Feiertage</t>
  </si>
  <si>
    <t>Stunden Sonntage</t>
  </si>
  <si>
    <t>Name:</t>
  </si>
  <si>
    <t>Strasse:</t>
  </si>
  <si>
    <t>PLZ/Ort:</t>
  </si>
  <si>
    <t>Kinder(lt. Lohnsteuerkarte)</t>
  </si>
  <si>
    <t>(Jahres)Lohnsteuerfreibetrag</t>
  </si>
  <si>
    <t>Fahrtgeld</t>
  </si>
  <si>
    <t>Auslagen-Erstattung</t>
  </si>
  <si>
    <t>Auszahlungsbetrag</t>
  </si>
  <si>
    <t xml:space="preserve">Strasse: </t>
  </si>
  <si>
    <t>Mitarbeiter</t>
  </si>
  <si>
    <r>
      <t xml:space="preserve">Name: </t>
    </r>
    <r>
      <rPr>
        <sz val="10"/>
        <color indexed="22"/>
        <rFont val="Arial"/>
        <family val="2"/>
      </rPr>
      <t xml:space="preserve"> </t>
    </r>
  </si>
  <si>
    <t>Stunden Nachtschicht</t>
  </si>
  <si>
    <t>Stunden</t>
  </si>
  <si>
    <t>Zuschlag/Std.</t>
  </si>
  <si>
    <t>Zeitzuschläge</t>
  </si>
  <si>
    <t>Stunden n. Sonderver.</t>
  </si>
  <si>
    <t>Daten für die Lohnbesteuerung</t>
  </si>
  <si>
    <r>
      <t xml:space="preserve">Kinderfreibetrag (0, </t>
    </r>
    <r>
      <rPr>
        <b/>
        <sz val="10"/>
        <rFont val="Arial"/>
        <family val="2"/>
      </rPr>
      <t>0.5</t>
    </r>
    <r>
      <rPr>
        <sz val="10"/>
        <rFont val="Arial"/>
        <family val="2"/>
      </rPr>
      <t xml:space="preserve">, 1, </t>
    </r>
    <r>
      <rPr>
        <b/>
        <sz val="10"/>
        <rFont val="Arial"/>
        <family val="2"/>
      </rPr>
      <t xml:space="preserve">1.5, </t>
    </r>
    <r>
      <rPr>
        <sz val="10"/>
        <rFont val="Arial"/>
        <family val="2"/>
      </rPr>
      <t>2.0</t>
    </r>
    <r>
      <rPr>
        <b/>
        <sz val="10"/>
        <rFont val="Arial"/>
        <family val="2"/>
      </rPr>
      <t>, 2.5</t>
    </r>
    <r>
      <rPr>
        <sz val="10"/>
        <rFont val="Arial"/>
        <family val="2"/>
      </rPr>
      <t xml:space="preserve"> usw)</t>
    </r>
  </si>
  <si>
    <t>%/€</t>
  </si>
  <si>
    <t>Arbeitgeberzuschuss nein=0, ja=1</t>
  </si>
  <si>
    <t>kinderlos u. über 23jährig (PflegeV)  nein=0 ja=1</t>
  </si>
  <si>
    <t>Arbeitsstelle in Ostdeutschland nein=0 ja=1</t>
  </si>
  <si>
    <t>Arbeitsstelle in Sachsen nein=0 ja=1</t>
  </si>
  <si>
    <t>Urlaubsgeld</t>
  </si>
  <si>
    <t>Lohnkonto</t>
  </si>
  <si>
    <t xml:space="preserve">Mai </t>
  </si>
  <si>
    <t xml:space="preserve">Juli </t>
  </si>
  <si>
    <t>Lohnsteuer</t>
  </si>
  <si>
    <t>PV - AN</t>
  </si>
  <si>
    <t>RV - AG</t>
  </si>
  <si>
    <t>PV - AG</t>
  </si>
  <si>
    <t>AV - AG</t>
  </si>
  <si>
    <t>Einmalbezüge</t>
  </si>
  <si>
    <t>Steuerfreie Bezüge</t>
  </si>
  <si>
    <t>AV - AN</t>
  </si>
  <si>
    <t>Umlage 1</t>
  </si>
  <si>
    <t>BG-Beitrag</t>
  </si>
  <si>
    <t>Umlagen U2 (Mutterschaftsgeld - 100%)</t>
  </si>
  <si>
    <t>Beitrag Berufsgenossenschaft (z.B. GefTarifStelle 06)</t>
  </si>
  <si>
    <t>Buchungsdatum</t>
  </si>
  <si>
    <t>Datum:</t>
  </si>
  <si>
    <t>Umlagen U1 (Lohnfortzahlung im Krankheitsfall - 65%)</t>
  </si>
  <si>
    <t>= Eingabezellen</t>
  </si>
  <si>
    <t>Februar</t>
  </si>
  <si>
    <t>August</t>
  </si>
  <si>
    <t>September</t>
  </si>
  <si>
    <t>Oktober</t>
  </si>
  <si>
    <t>November</t>
  </si>
  <si>
    <t>Dezember</t>
  </si>
  <si>
    <t xml:space="preserve">Das Programm ist FreeWare und kann ganz oder in Teilen frei genutzt und auch verändert werden. </t>
  </si>
  <si>
    <t xml:space="preserve">  eines Eintrags 'Berechnen' erneut anklicken. </t>
  </si>
  <si>
    <t>- Beim Aufruf 'Berechnen'  im Blatt 'Gehaltsabrechnung' werden die errechneten Steuern und Sozialversicherungsbeiträge</t>
  </si>
  <si>
    <t xml:space="preserve">  sowie einige andere Werte aus der Gehaltsabrechnung in die jeweiligen Spalte des Monats, den man ausgewählt hat,</t>
  </si>
  <si>
    <t xml:space="preserve">  erneuten Aufruf von 'Berechnen'  überschrieben. Die Zellen der Monatsspalten enthalten keine Zellfunktionen, </t>
  </si>
  <si>
    <t xml:space="preserve">  können also jederzeit einfach gelöscht werde. Nur die Zellen der Spalte  'Gesamt' (grau unterlegt) enthalten die Summenformeln </t>
  </si>
  <si>
    <t xml:space="preserve">  und sollten deshalb nicht gelöscht werden.</t>
  </si>
  <si>
    <t>=</t>
  </si>
  <si>
    <t>Erschwerniszulage</t>
  </si>
  <si>
    <t>L</t>
  </si>
  <si>
    <t>E</t>
  </si>
  <si>
    <t>LgV</t>
  </si>
  <si>
    <t xml:space="preserve">- Das Gehalt wird aus Stunden x Stundenlohn errechnet, wenn beide Felder nicht leer sind. Sonst Gehalt in Feld direkt </t>
  </si>
  <si>
    <t xml:space="preserve">  Vorteile sich nur steuer- und sozialversicherungspflichtig auswirken und nicht den Nettolohn beeinflussen, muss im </t>
  </si>
  <si>
    <t>Prämie</t>
  </si>
  <si>
    <r>
      <t>Umgestaltung</t>
    </r>
    <r>
      <rPr>
        <sz val="10"/>
        <rFont val="Arial"/>
        <family val="2"/>
      </rPr>
      <t xml:space="preserve"> des Blattes </t>
    </r>
    <r>
      <rPr>
        <b/>
        <sz val="10"/>
        <rFont val="Arial"/>
        <family val="2"/>
      </rPr>
      <t>Gehaltsabrechnung</t>
    </r>
  </si>
  <si>
    <r>
      <t xml:space="preserve">- Der Zellenbereich </t>
    </r>
    <r>
      <rPr>
        <b/>
        <sz val="10"/>
        <rFont val="Arial"/>
        <family val="2"/>
      </rPr>
      <t xml:space="preserve">steuerpflichtiges Brutto </t>
    </r>
    <r>
      <rPr>
        <sz val="10"/>
        <rFont val="Arial"/>
        <family val="2"/>
      </rPr>
      <t xml:space="preserve">kann nach eigenen Bedürfnissen umgestaltet werden. </t>
    </r>
    <r>
      <rPr>
        <b/>
        <sz val="10"/>
        <rFont val="Arial"/>
        <family val="2"/>
      </rPr>
      <t>Es dürfen aber keine Zeilen</t>
    </r>
    <r>
      <rPr>
        <sz val="10"/>
        <rFont val="Arial"/>
        <family val="2"/>
      </rPr>
      <t xml:space="preserve"> </t>
    </r>
  </si>
  <si>
    <t xml:space="preserve">  Zahlungen ersetzen. Auch kann man nicht benötigte Felder (aber nicht die Zeile!) löschen und z.B. nur den Bruttolohn in diesem</t>
  </si>
  <si>
    <t xml:space="preserve">  Hier wird nur die Zelle G49 (enhält Summenformel, gegebenfalls anpassen) vom Makro abgefragt.</t>
  </si>
  <si>
    <r>
      <t xml:space="preserve">  Bereich belassen (z.B. bei einer Beschäftigung in der Gleitzone). Gleiches gilt für den Zellbereich </t>
    </r>
    <r>
      <rPr>
        <b/>
        <sz val="10"/>
        <rFont val="Arial"/>
        <family val="2"/>
      </rPr>
      <t xml:space="preserve">steuerfreie Bezüge. </t>
    </r>
  </si>
  <si>
    <t xml:space="preserve">  z.B. weitere Felder für Sonderstundenvergütung einfügen bzw. die vorhandenen löschen oder mit anderen Einmal- bzw. laufenden</t>
  </si>
  <si>
    <t>Überstunden</t>
  </si>
  <si>
    <t>Spätarbeit</t>
  </si>
  <si>
    <t>Dienstwagen 1%</t>
  </si>
  <si>
    <t>Dienstwagen, Weg zur Arbeit</t>
  </si>
  <si>
    <t>Krankenversicherung</t>
  </si>
  <si>
    <t xml:space="preserve">Geburtsdatum </t>
  </si>
  <si>
    <t xml:space="preserve">Eintrittsdatum </t>
  </si>
  <si>
    <t>Steuerklasse</t>
  </si>
  <si>
    <t>Kumulierte Jahreswerte</t>
  </si>
  <si>
    <t>Ges. KV</t>
  </si>
  <si>
    <t>Ges. RV</t>
  </si>
  <si>
    <t>Ges. AV</t>
  </si>
  <si>
    <t>Sol.Zuschlag</t>
  </si>
  <si>
    <t>Ges. PV</t>
  </si>
  <si>
    <t>geltwerte Vorteile einmalig</t>
  </si>
  <si>
    <t>geltwerte Vorteile laufend</t>
  </si>
  <si>
    <t>Bruttolohn</t>
  </si>
  <si>
    <t>Bruttolohn (o. geltw.Vort.)</t>
  </si>
  <si>
    <t>Programm Formular Gehaltsabrechnung in EXCEL</t>
  </si>
  <si>
    <t>Lohn-/Gehaltsabrechnung</t>
  </si>
  <si>
    <t>Einmalzahlungen</t>
  </si>
  <si>
    <t>Gesamt-Netto</t>
  </si>
  <si>
    <t xml:space="preserve">Betrag bar erhalten. </t>
  </si>
  <si>
    <t>Datum, Unterschrift</t>
  </si>
  <si>
    <t xml:space="preserve">  KV gegeben ist. </t>
  </si>
  <si>
    <r>
      <t xml:space="preserve">- Im Bereich </t>
    </r>
    <r>
      <rPr>
        <b/>
        <sz val="10"/>
        <rFont val="Arial"/>
        <family val="2"/>
      </rPr>
      <t>steuerfreie Bezüge</t>
    </r>
    <r>
      <rPr>
        <sz val="10"/>
        <rFont val="Arial"/>
        <family val="2"/>
      </rPr>
      <t xml:space="preserve"> ist die </t>
    </r>
    <r>
      <rPr>
        <b/>
        <sz val="10"/>
        <rFont val="Arial"/>
        <family val="2"/>
      </rPr>
      <t>Zeile 47 reserviert</t>
    </r>
    <r>
      <rPr>
        <sz val="10"/>
        <rFont val="Arial"/>
        <family val="2"/>
      </rPr>
      <t xml:space="preserve"> (wird überschrieben), wenn ein Arbeitgeberzuschuss zur privaten </t>
    </r>
  </si>
  <si>
    <r>
      <rPr>
        <sz val="8"/>
        <color indexed="10"/>
        <rFont val="Arial"/>
        <family val="2"/>
      </rPr>
      <t>Achtung!</t>
    </r>
    <r>
      <rPr>
        <sz val="8"/>
        <rFont val="Arial"/>
        <family val="2"/>
      </rPr>
      <t xml:space="preserve"> graue Zellen enthalten Summenformel, weiße Zellen können gelöscht werden!</t>
    </r>
  </si>
  <si>
    <t>Arbeitgeberanteile</t>
  </si>
  <si>
    <t>steuerfreie Bezüge</t>
  </si>
  <si>
    <t xml:space="preserve">  ermittelt wird. Die Differenz der beiden Werte ist der Steueranteil für die Einmalzalung. Bei mehreren Einmalzahlungen im</t>
  </si>
  <si>
    <t xml:space="preserve">  Jahr werden die schon abgerechneten Einmalzahlungen zur Jahreslohnsteuer addiert und davon die Steuer ermittelt und</t>
  </si>
  <si>
    <r>
      <t>- Der Lohnsteueranteil für eine</t>
    </r>
    <r>
      <rPr>
        <b/>
        <sz val="10"/>
        <rFont val="Arial"/>
        <family val="2"/>
      </rPr>
      <t xml:space="preserve"> Einmalzahlung </t>
    </r>
    <r>
      <rPr>
        <sz val="10"/>
        <rFont val="Arial"/>
        <family val="2"/>
      </rPr>
      <t xml:space="preserve">wird errechnet, indem die Jahreslohnsteuer mit und ohne Einmalzahlung  </t>
    </r>
  </si>
  <si>
    <r>
      <t xml:space="preserve">  zum anderen zusätzlich mit der aktuellen Einmalzahlung. </t>
    </r>
    <r>
      <rPr>
        <b/>
        <sz val="10"/>
        <rFont val="Arial"/>
        <family val="2"/>
      </rPr>
      <t>Die schon abgerechneten Einmalzahlungen übernimmt das</t>
    </r>
  </si>
  <si>
    <r>
      <t xml:space="preserve">Krankenversicherung % bzw. </t>
    </r>
    <r>
      <rPr>
        <sz val="10"/>
        <color indexed="60"/>
        <rFont val="Arial"/>
        <family val="2"/>
      </rPr>
      <t xml:space="preserve">PKV(incl.PflegeV) in € </t>
    </r>
  </si>
  <si>
    <r>
      <t>PKV Basistarif (incl. Pflegeversicherung)</t>
    </r>
    <r>
      <rPr>
        <sz val="10"/>
        <color indexed="12"/>
        <rFont val="Arial"/>
        <family val="2"/>
      </rPr>
      <t xml:space="preserve"> </t>
    </r>
    <r>
      <rPr>
        <sz val="8"/>
        <color indexed="12"/>
        <rFont val="Arial"/>
        <family val="2"/>
      </rPr>
      <t>im Monat</t>
    </r>
  </si>
  <si>
    <t>Kirchensteuer (0=keine)</t>
  </si>
  <si>
    <t>Geburtsdatum T.M.JJJJ</t>
  </si>
  <si>
    <t>Summe steuerfreie Bezüge</t>
  </si>
  <si>
    <t>Summe Abzüge</t>
  </si>
  <si>
    <t>rentenversichert  nein=0 ja=1</t>
  </si>
  <si>
    <t>arbeitslosenversichert nein=0 ja=1</t>
  </si>
  <si>
    <t xml:space="preserve">  Programm aus der Zelle C9 des Lohnkonto-Blatts. Sie müssen also dort stehen!</t>
  </si>
  <si>
    <r>
      <t xml:space="preserve">  gelöscht werden! </t>
    </r>
    <r>
      <rPr>
        <sz val="10"/>
        <rFont val="Arial"/>
        <family val="2"/>
      </rPr>
      <t xml:space="preserve">Die Zellen G17 bis G25 (und I17 bis I25) werden vom Makro abgefragt (dürfen leer sein). So kann man </t>
    </r>
  </si>
  <si>
    <r>
      <t xml:space="preserve">  </t>
    </r>
    <r>
      <rPr>
        <sz val="10"/>
        <rFont val="Arial"/>
        <family val="2"/>
      </rPr>
      <t>rechnet das Makro entsprechend den Regeln im Gleitzonenbereich. Es werden auch Einmalzahlungen berücksicht, wenn</t>
    </r>
  </si>
  <si>
    <t xml:space="preserve">  rechts neben dem Betrag stehen Feld die entsprechende Lohnform dafür angegeben werden.</t>
  </si>
  <si>
    <t>Konto:</t>
  </si>
  <si>
    <t>BLZ:</t>
  </si>
  <si>
    <t>Bank:</t>
  </si>
  <si>
    <t>Vorschuss</t>
  </si>
  <si>
    <t xml:space="preserve">Betrag wird überwiesen auf: </t>
  </si>
  <si>
    <t>Summe Sonn-, Feiertags-, Nachtzuschläge</t>
  </si>
  <si>
    <t>Umlage 2</t>
  </si>
  <si>
    <t>SV-Brutto RV</t>
  </si>
  <si>
    <t>SV-Brutto KV</t>
  </si>
  <si>
    <t xml:space="preserve">- Die schon abgerechneten Einmalzahlungen übernimmt das Programm aus den Zellen 'Einmalzahlungen' des Lohnkonto-Blatts. </t>
  </si>
  <si>
    <t xml:space="preserve">  (ohne die Einmalzahlung des aktuellen Monats). </t>
  </si>
  <si>
    <t>- Einmalzahlungen in den Monaten Januar bis März, durch die der Monatslohn über die Krankenversicherungs-Bemessungsgrenze</t>
  </si>
  <si>
    <t xml:space="preserve">  steigt, sind dem Vorjahr zuzurechnen (Märzklausel). </t>
  </si>
  <si>
    <r>
      <t xml:space="preserve">Bruttoarbeitsentgelt </t>
    </r>
    <r>
      <rPr>
        <sz val="9"/>
        <rFont val="Arial"/>
        <family val="2"/>
      </rPr>
      <t>(ohne geldwerte Vorteile)</t>
    </r>
  </si>
  <si>
    <t xml:space="preserve">  eingeben. Da bei der Lohnsteuerberechnung zwischen laufenden und Einmalzahlungen unterschieden wird und die geldwerten</t>
  </si>
  <si>
    <r>
      <t xml:space="preserve">- </t>
    </r>
    <r>
      <rPr>
        <b/>
        <sz val="10"/>
        <rFont val="Arial"/>
        <family val="2"/>
      </rPr>
      <t>Minijob</t>
    </r>
    <r>
      <rPr>
        <sz val="10"/>
        <rFont val="Arial"/>
        <family val="2"/>
      </rPr>
      <t>: Bei geringfügiger Beschäftigung gibt Programm im Lohnkonto den pauschalen Arbeitgeberbeitrag (30% des Lohns) an.</t>
    </r>
  </si>
  <si>
    <t xml:space="preserve">  Bei privater Krankenkassen(mit)versicherung erniedrigt sich der pauschale Arbeitgeberbeitrag auf 17% (dazu beim Kranken-</t>
  </si>
  <si>
    <r>
      <t>vom FA mitgeteilter Ehegattenfaktor</t>
    </r>
    <r>
      <rPr>
        <sz val="8"/>
        <color indexed="12"/>
        <rFont val="Arial"/>
        <family val="2"/>
      </rPr>
      <t xml:space="preserve"> (</t>
    </r>
    <r>
      <rPr>
        <sz val="8"/>
        <color indexed="10"/>
        <rFont val="Arial"/>
        <family val="2"/>
      </rPr>
      <t xml:space="preserve">nur bei StKl IV, </t>
    </r>
    <r>
      <rPr>
        <sz val="8"/>
        <color indexed="12"/>
        <rFont val="Arial"/>
        <family val="2"/>
      </rPr>
      <t>keiner=1,000</t>
    </r>
    <r>
      <rPr>
        <sz val="8"/>
        <color indexed="12"/>
        <rFont val="Arial"/>
        <family val="2"/>
      </rPr>
      <t>)</t>
    </r>
  </si>
  <si>
    <r>
      <t xml:space="preserve">Insolvenzumlage: </t>
    </r>
    <r>
      <rPr>
        <sz val="10"/>
        <rFont val="Arial"/>
        <family val="2"/>
      </rPr>
      <t>Zur Berechnung wird</t>
    </r>
    <r>
      <rPr>
        <b/>
        <sz val="10"/>
        <rFont val="Arial"/>
        <family val="2"/>
      </rPr>
      <t xml:space="preserve"> </t>
    </r>
    <r>
      <rPr>
        <sz val="10"/>
        <rFont val="Arial"/>
        <family val="2"/>
      </rPr>
      <t>das auf die monatliche Beitragsbemessungsgrenze der</t>
    </r>
    <r>
      <rPr>
        <b/>
        <sz val="10"/>
        <rFont val="Arial"/>
        <family val="2"/>
      </rPr>
      <t xml:space="preserve"> </t>
    </r>
    <r>
      <rPr>
        <sz val="10"/>
        <rFont val="Arial"/>
        <family val="2"/>
      </rPr>
      <t>Rentenversicherung</t>
    </r>
  </si>
  <si>
    <t>(Jahres)lohnsteuerhinzurechnungsbetrag:</t>
  </si>
  <si>
    <t>(Jahres)lohnsteuerfreibetrag:</t>
  </si>
  <si>
    <t xml:space="preserve">  kassenbeitragssatz eine 0 eintragen. Eigenanteil von 3,6% für eine Rentenanwartschaft sind ab 2013 für Neueinstellungen Pflicht!</t>
  </si>
  <si>
    <t xml:space="preserve">  Zu berücksichtigen ist dabei, dass der (bei StKl 1-4) steuerfreie Lohn dann vom Finanzamt (Arbeitgeber muß Verdienst melden) </t>
  </si>
  <si>
    <t xml:space="preserve">  zu den anderen Einnahmen z.B. zur Rente dazugerechnet wird und dann doch nicht mehr steuerfrei ist. In den seltesten Fällen </t>
  </si>
  <si>
    <t xml:space="preserve">  ist beim Minijob ein Arbeiten auf Lohnsteuerkarte deshalb vorteilhaft (außer für den Arbeitgeber)</t>
  </si>
  <si>
    <t>steuer@parmentier.de</t>
  </si>
  <si>
    <t>Zusatzbeitrag zur Krankenversicherung %</t>
  </si>
  <si>
    <t>Zusatzbeitrag</t>
  </si>
  <si>
    <t>Steuer-Brutto</t>
  </si>
  <si>
    <t>KV- Zusatzbeitrag</t>
  </si>
  <si>
    <t>KV - AN</t>
  </si>
  <si>
    <t xml:space="preserve">  auch, wenn der AN mit Lohnsteuerkarte arbeitet (-2% AG-Pauschale).</t>
  </si>
  <si>
    <t xml:space="preserve">  Bei einem Monatslohn &lt; 175 € trägt der Arbeitnehmer 32,55 € - 15% d. Lohns als Rentenpflichtbeitrag. Programm berücksichtigt</t>
  </si>
  <si>
    <r>
      <t xml:space="preserve">- Berechnung in der Gleitzone: </t>
    </r>
    <r>
      <rPr>
        <sz val="10"/>
        <rFont val="Arial"/>
        <family val="2"/>
      </rPr>
      <t>Wenn die entsprechend Checkbox aktiviert ist und der Bruttolohn unter 1300 € liegt,</t>
    </r>
  </si>
  <si>
    <t xml:space="preserve">  der Gesamtmonatslohn dann noch unter 1300 € liegt. </t>
  </si>
  <si>
    <t>1,2% Arbeitslosenversicherung</t>
  </si>
  <si>
    <t xml:space="preserve">  eingetragen. Dies erfolgt mit einem Makro (Teil des Makro Gehaltsrechner 2021). Die jeweiligen Monatswerte werden beim </t>
  </si>
  <si>
    <t xml:space="preserve"> begrenzte Bruttoarbeitsentgelt mit dem jeweiligen Prozentsatz (2021: 0,12%) multipliziert.</t>
  </si>
  <si>
    <t xml:space="preserve">  dem Stammdaten-Blatt übernommen, bzw. mit Makro aus dem Gehaltsrechner 2021-Makro hineingeschrieben. </t>
  </si>
  <si>
    <t xml:space="preserve">  Mit dem Button 'Berechnen' wird das Lohnsteuerberechnungs-Makro 2021 aufgerufen. Nach jedere Änderung </t>
  </si>
  <si>
    <t>Daten f. Arbeitgeberabgaben. Für Minijob Umlagen festgelegt: U1=1,0%, U2=0,39%</t>
  </si>
  <si>
    <t>KV - AG</t>
  </si>
  <si>
    <t>RV - AN</t>
  </si>
  <si>
    <t>Insolvenzumlage (0,12%)</t>
  </si>
  <si>
    <t>RV-frei</t>
  </si>
  <si>
    <t>AV-frei</t>
  </si>
  <si>
    <t>nach heydorn</t>
  </si>
  <si>
    <t>Sumsum</t>
  </si>
  <si>
    <t>Jahr</t>
  </si>
  <si>
    <t>Steuer-Brutto Jahr</t>
  </si>
  <si>
    <t>https://n-heydorn.de/rentenbesteuerung.html</t>
  </si>
  <si>
    <t>VBA Umgebaut von Werner Kleyer 6.4.2021</t>
  </si>
  <si>
    <t>Modified by Werner Kleyer</t>
  </si>
  <si>
    <t>werner.kleyer@gmail.com</t>
  </si>
  <si>
    <t>Jahressummen</t>
  </si>
  <si>
    <t>Differenzen</t>
  </si>
  <si>
    <t>Mai</t>
  </si>
  <si>
    <t>Juli</t>
  </si>
  <si>
    <r>
      <t xml:space="preserve">Monat </t>
    </r>
    <r>
      <rPr>
        <b/>
        <sz val="10"/>
        <rFont val="Calibri"/>
        <family val="2"/>
      </rPr>
      <t>→</t>
    </r>
  </si>
  <si>
    <t>Eintrittsdatum</t>
  </si>
  <si>
    <t xml:space="preserve">PLZ / Ort: </t>
  </si>
  <si>
    <r>
      <t xml:space="preserve">Bruttorente / Bruttogehalt </t>
    </r>
    <r>
      <rPr>
        <b/>
        <sz val="9"/>
        <rFont val="Calibri"/>
        <family val="2"/>
      </rPr>
      <t>→</t>
    </r>
  </si>
  <si>
    <r>
      <t xml:space="preserve">Freibeträge </t>
    </r>
    <r>
      <rPr>
        <sz val="10"/>
        <rFont val="Calibri"/>
        <family val="2"/>
      </rPr>
      <t>→</t>
    </r>
  </si>
  <si>
    <r>
      <t>Rentenfreibeträge</t>
    </r>
    <r>
      <rPr>
        <sz val="10"/>
        <rFont val="Calibri"/>
        <family val="2"/>
      </rPr>
      <t>→</t>
    </r>
  </si>
  <si>
    <t>Sonderausgabenpauschbetrag</t>
  </si>
  <si>
    <t xml:space="preserve">Schwerbehindertenfreibetrag GdB </t>
  </si>
  <si>
    <t>Rentenfrei  Prozente</t>
  </si>
  <si>
    <t>Umgebaut zum Bruttorente = Nettorentenrechner</t>
  </si>
  <si>
    <r>
      <t xml:space="preserve">HIER Bruttorente eintragen </t>
    </r>
    <r>
      <rPr>
        <b/>
        <sz val="10"/>
        <rFont val="Calibri"/>
        <family val="2"/>
      </rPr>
      <t>↓</t>
    </r>
  </si>
  <si>
    <t>xyz</t>
  </si>
  <si>
    <t>VolksSparkasse</t>
  </si>
  <si>
    <t>nein</t>
  </si>
  <si>
    <t>←</t>
  </si>
  <si>
    <t>VERGLEICH</t>
  </si>
  <si>
    <t>KV+PV Anteil</t>
  </si>
  <si>
    <t>Summen</t>
  </si>
  <si>
    <t>inkl AG Anteil</t>
  </si>
  <si>
    <t>Abzüge *</t>
  </si>
  <si>
    <t>Lohn-/Gehaltsabrechnung 2021</t>
  </si>
  <si>
    <t xml:space="preserve">Betriebsrente </t>
  </si>
  <si>
    <t>ja</t>
  </si>
  <si>
    <r>
      <t>Bertiebsrente</t>
    </r>
    <r>
      <rPr>
        <b/>
        <sz val="10"/>
        <color rgb="FF0070C0"/>
        <rFont val="Calibri"/>
        <family val="2"/>
      </rPr>
      <t>→</t>
    </r>
  </si>
  <si>
    <t>Bruttorente →</t>
  </si>
  <si>
    <t>Steuerbrutto</t>
  </si>
  <si>
    <t>Inhalt</t>
  </si>
  <si>
    <r>
      <t xml:space="preserve">Arbeitsblatt </t>
    </r>
    <r>
      <rPr>
        <b/>
        <sz val="11"/>
        <color theme="1"/>
        <rFont val="Calibri"/>
        <family val="2"/>
      </rPr>
      <t>→</t>
    </r>
  </si>
  <si>
    <t>West</t>
  </si>
  <si>
    <t>Zeitraum</t>
  </si>
  <si>
    <t>Beitragssatz</t>
  </si>
  <si>
    <t>Satz für</t>
  </si>
  <si>
    <t>Beitragsbemessungsgrenze</t>
  </si>
  <si>
    <t>Beitragserstattung</t>
  </si>
  <si>
    <t>jährlich</t>
  </si>
  <si>
    <t>monatlich</t>
  </si>
  <si>
    <r>
      <t>1.6.49 - 31</t>
    </r>
    <r>
      <rPr>
        <sz val="7.5"/>
        <color rgb="FF413D3D"/>
        <rFont val="Arial"/>
        <family val="2"/>
      </rPr>
      <t xml:space="preserve">. </t>
    </r>
    <r>
      <rPr>
        <sz val="7.5"/>
        <color rgb="FF070505"/>
        <rFont val="Arial"/>
        <family val="2"/>
      </rPr>
      <t>8</t>
    </r>
    <r>
      <rPr>
        <sz val="7.5"/>
        <color rgb="FF2F2D2B"/>
        <rFont val="Arial"/>
        <family val="2"/>
      </rPr>
      <t>.</t>
    </r>
    <r>
      <rPr>
        <sz val="7.5"/>
        <color rgb="FF070505"/>
        <rFont val="Arial"/>
        <family val="2"/>
      </rPr>
      <t>52</t>
    </r>
  </si>
  <si>
    <r>
      <t xml:space="preserve">7.200 </t>
    </r>
    <r>
      <rPr>
        <sz val="7.5"/>
        <color rgb="FF413D3D"/>
        <rFont val="Arial"/>
        <family val="2"/>
      </rPr>
      <t>,</t>
    </r>
    <r>
      <rPr>
        <sz val="7.5"/>
        <color rgb="FF070505"/>
        <rFont val="Arial"/>
        <family val="2"/>
      </rPr>
      <t xml:space="preserve">00 </t>
    </r>
    <r>
      <rPr>
        <b/>
        <sz val="8"/>
        <color rgb="FF070505"/>
        <rFont val="Arial"/>
        <family val="2"/>
      </rPr>
      <t>DM</t>
    </r>
  </si>
  <si>
    <r>
      <t xml:space="preserve">600,00 </t>
    </r>
    <r>
      <rPr>
        <b/>
        <sz val="8"/>
        <color rgb="FF070505"/>
        <rFont val="Arial"/>
        <family val="2"/>
      </rPr>
      <t>DM</t>
    </r>
  </si>
  <si>
    <r>
      <t>1.9.52 - 31</t>
    </r>
    <r>
      <rPr>
        <sz val="7.5"/>
        <color rgb="FF413D3D"/>
        <rFont val="Arial"/>
        <family val="2"/>
      </rPr>
      <t xml:space="preserve">. </t>
    </r>
    <r>
      <rPr>
        <sz val="7.5"/>
        <color rgb="FF070505"/>
        <rFont val="Arial"/>
        <family val="2"/>
      </rPr>
      <t>3</t>
    </r>
    <r>
      <rPr>
        <sz val="7.5"/>
        <color rgb="FF2F2D2B"/>
        <rFont val="Arial"/>
        <family val="2"/>
      </rPr>
      <t>.</t>
    </r>
    <r>
      <rPr>
        <sz val="7.5"/>
        <color rgb="FF070505"/>
        <rFont val="Arial"/>
        <family val="2"/>
      </rPr>
      <t>55</t>
    </r>
  </si>
  <si>
    <r>
      <t xml:space="preserve">9.000,00 </t>
    </r>
    <r>
      <rPr>
        <b/>
        <sz val="8"/>
        <color rgb="FF070505"/>
        <rFont val="Arial"/>
        <family val="2"/>
      </rPr>
      <t>DM</t>
    </r>
  </si>
  <si>
    <r>
      <t xml:space="preserve">750,00 </t>
    </r>
    <r>
      <rPr>
        <b/>
        <sz val="8"/>
        <color rgb="FF070505"/>
        <rFont val="Arial"/>
        <family val="2"/>
      </rPr>
      <t>DM</t>
    </r>
  </si>
  <si>
    <r>
      <t>1.4.55 - 28</t>
    </r>
    <r>
      <rPr>
        <sz val="7.5"/>
        <color rgb="FF2F2D2B"/>
        <rFont val="Arial"/>
        <family val="2"/>
      </rPr>
      <t xml:space="preserve">. </t>
    </r>
    <r>
      <rPr>
        <sz val="7.5"/>
        <color rgb="FF070505"/>
        <rFont val="Arial"/>
        <family val="2"/>
      </rPr>
      <t>2</t>
    </r>
    <r>
      <rPr>
        <sz val="7.5"/>
        <color rgb="FF2F2D2B"/>
        <rFont val="Arial"/>
        <family val="2"/>
      </rPr>
      <t>.</t>
    </r>
    <r>
      <rPr>
        <sz val="7.5"/>
        <color rgb="FF070505"/>
        <rFont val="Arial"/>
        <family val="2"/>
      </rPr>
      <t>57</t>
    </r>
  </si>
  <si>
    <r>
      <t>1</t>
    </r>
    <r>
      <rPr>
        <sz val="7.5"/>
        <color rgb="FF2F2D2B"/>
        <rFont val="Arial"/>
        <family val="2"/>
      </rPr>
      <t>.</t>
    </r>
    <r>
      <rPr>
        <sz val="7.5"/>
        <color rgb="FF070505"/>
        <rFont val="Arial"/>
        <family val="2"/>
      </rPr>
      <t>3</t>
    </r>
    <r>
      <rPr>
        <sz val="7.5"/>
        <color rgb="FF2F2D2B"/>
        <rFont val="Arial"/>
        <family val="2"/>
      </rPr>
      <t>.</t>
    </r>
    <r>
      <rPr>
        <sz val="7.5"/>
        <color rgb="FF070505"/>
        <rFont val="Arial"/>
        <family val="2"/>
      </rPr>
      <t>57 - 31.12</t>
    </r>
    <r>
      <rPr>
        <sz val="7.5"/>
        <color rgb="FF2F2D2B"/>
        <rFont val="Arial"/>
        <family val="2"/>
      </rPr>
      <t>.</t>
    </r>
    <r>
      <rPr>
        <sz val="7.5"/>
        <color rgb="FF070505"/>
        <rFont val="Arial"/>
        <family val="2"/>
      </rPr>
      <t>57</t>
    </r>
  </si>
  <si>
    <r>
      <t xml:space="preserve">9.000 </t>
    </r>
    <r>
      <rPr>
        <sz val="7.5"/>
        <color rgb="FF413D3D"/>
        <rFont val="Arial"/>
        <family val="2"/>
      </rPr>
      <t>,</t>
    </r>
    <r>
      <rPr>
        <sz val="7.5"/>
        <color rgb="FF070505"/>
        <rFont val="Arial"/>
        <family val="2"/>
      </rPr>
      <t xml:space="preserve">00 </t>
    </r>
    <r>
      <rPr>
        <b/>
        <sz val="8"/>
        <color rgb="FF070505"/>
        <rFont val="Arial"/>
        <family val="2"/>
      </rPr>
      <t>DM</t>
    </r>
  </si>
  <si>
    <r>
      <t xml:space="preserve">9.600 </t>
    </r>
    <r>
      <rPr>
        <sz val="7.5"/>
        <color rgb="FF413D3D"/>
        <rFont val="Arial"/>
        <family val="2"/>
      </rPr>
      <t>,</t>
    </r>
    <r>
      <rPr>
        <sz val="7.5"/>
        <color rgb="FF070505"/>
        <rFont val="Arial"/>
        <family val="2"/>
      </rPr>
      <t xml:space="preserve">00 </t>
    </r>
    <r>
      <rPr>
        <b/>
        <sz val="8"/>
        <color rgb="FF070505"/>
        <rFont val="Arial"/>
        <family val="2"/>
      </rPr>
      <t>DM</t>
    </r>
  </si>
  <si>
    <r>
      <t xml:space="preserve">800,00 </t>
    </r>
    <r>
      <rPr>
        <b/>
        <sz val="8"/>
        <color rgb="FF070505"/>
        <rFont val="Arial"/>
        <family val="2"/>
      </rPr>
      <t>DM</t>
    </r>
  </si>
  <si>
    <r>
      <t>10.200</t>
    </r>
    <r>
      <rPr>
        <sz val="7.5"/>
        <color rgb="FF2F2D2B"/>
        <rFont val="Arial"/>
        <family val="2"/>
      </rPr>
      <t>,</t>
    </r>
    <r>
      <rPr>
        <sz val="7.5"/>
        <color rgb="FF070505"/>
        <rFont val="Arial"/>
        <family val="2"/>
      </rPr>
      <t xml:space="preserve">00 </t>
    </r>
    <r>
      <rPr>
        <b/>
        <sz val="8"/>
        <color rgb="FF070505"/>
        <rFont val="Arial"/>
        <family val="2"/>
      </rPr>
      <t>DM</t>
    </r>
  </si>
  <si>
    <r>
      <t xml:space="preserve">850,00 </t>
    </r>
    <r>
      <rPr>
        <b/>
        <sz val="8"/>
        <color rgb="FF070505"/>
        <rFont val="Arial"/>
        <family val="2"/>
      </rPr>
      <t>DM</t>
    </r>
  </si>
  <si>
    <r>
      <t>10.800</t>
    </r>
    <r>
      <rPr>
        <sz val="7.5"/>
        <color rgb="FF2F2D2B"/>
        <rFont val="Arial"/>
        <family val="2"/>
      </rPr>
      <t>,</t>
    </r>
    <r>
      <rPr>
        <sz val="7.5"/>
        <color rgb="FF070505"/>
        <rFont val="Arial"/>
        <family val="2"/>
      </rPr>
      <t xml:space="preserve">00 </t>
    </r>
    <r>
      <rPr>
        <b/>
        <sz val="8"/>
        <color rgb="FF070505"/>
        <rFont val="Arial"/>
        <family val="2"/>
      </rPr>
      <t>DM</t>
    </r>
  </si>
  <si>
    <r>
      <t xml:space="preserve">900,00 </t>
    </r>
    <r>
      <rPr>
        <b/>
        <sz val="8"/>
        <color rgb="FF070505"/>
        <rFont val="Arial"/>
        <family val="2"/>
      </rPr>
      <t>DM</t>
    </r>
  </si>
  <si>
    <r>
      <t>11.400</t>
    </r>
    <r>
      <rPr>
        <sz val="7.5"/>
        <color rgb="FF413D3D"/>
        <rFont val="Arial"/>
        <family val="2"/>
      </rPr>
      <t>,</t>
    </r>
    <r>
      <rPr>
        <sz val="7.5"/>
        <color rgb="FF070505"/>
        <rFont val="Arial"/>
        <family val="2"/>
      </rPr>
      <t xml:space="preserve">00 </t>
    </r>
    <r>
      <rPr>
        <b/>
        <sz val="8"/>
        <color rgb="FF070505"/>
        <rFont val="Arial"/>
        <family val="2"/>
      </rPr>
      <t>DM</t>
    </r>
  </si>
  <si>
    <r>
      <t xml:space="preserve">950,00 </t>
    </r>
    <r>
      <rPr>
        <b/>
        <sz val="8"/>
        <color rgb="FF070505"/>
        <rFont val="Arial"/>
        <family val="2"/>
      </rPr>
      <t>DM</t>
    </r>
  </si>
  <si>
    <r>
      <t xml:space="preserve">12.000,00 </t>
    </r>
    <r>
      <rPr>
        <b/>
        <sz val="8"/>
        <color rgb="FF070505"/>
        <rFont val="Arial"/>
        <family val="2"/>
      </rPr>
      <t>DM</t>
    </r>
  </si>
  <si>
    <r>
      <t xml:space="preserve">1.000,00 </t>
    </r>
    <r>
      <rPr>
        <b/>
        <sz val="8"/>
        <color rgb="FF070505"/>
        <rFont val="Arial"/>
        <family val="2"/>
      </rPr>
      <t>DM</t>
    </r>
  </si>
  <si>
    <r>
      <t xml:space="preserve">13.200,00 </t>
    </r>
    <r>
      <rPr>
        <b/>
        <sz val="8"/>
        <color rgb="FF070505"/>
        <rFont val="Arial"/>
        <family val="2"/>
      </rPr>
      <t>DM</t>
    </r>
  </si>
  <si>
    <r>
      <t xml:space="preserve">1.100,00 </t>
    </r>
    <r>
      <rPr>
        <b/>
        <sz val="8"/>
        <color rgb="FF070505"/>
        <rFont val="Arial"/>
        <family val="2"/>
      </rPr>
      <t>DM</t>
    </r>
  </si>
  <si>
    <r>
      <t>14.400</t>
    </r>
    <r>
      <rPr>
        <sz val="7.5"/>
        <color rgb="FF413D3D"/>
        <rFont val="Arial"/>
        <family val="2"/>
      </rPr>
      <t>,</t>
    </r>
    <r>
      <rPr>
        <sz val="7.5"/>
        <color rgb="FF070505"/>
        <rFont val="Arial"/>
        <family val="2"/>
      </rPr>
      <t xml:space="preserve">00 </t>
    </r>
    <r>
      <rPr>
        <b/>
        <sz val="8"/>
        <color rgb="FF070505"/>
        <rFont val="Arial"/>
        <family val="2"/>
      </rPr>
      <t>DM</t>
    </r>
  </si>
  <si>
    <r>
      <t xml:space="preserve">1.200,00 </t>
    </r>
    <r>
      <rPr>
        <b/>
        <sz val="8"/>
        <color rgb="FF070505"/>
        <rFont val="Arial"/>
        <family val="2"/>
      </rPr>
      <t>DM</t>
    </r>
  </si>
  <si>
    <r>
      <t>15.600</t>
    </r>
    <r>
      <rPr>
        <sz val="7.5"/>
        <color rgb="FF413D3D"/>
        <rFont val="Arial"/>
        <family val="2"/>
      </rPr>
      <t>,</t>
    </r>
    <r>
      <rPr>
        <sz val="7.5"/>
        <color rgb="FF070505"/>
        <rFont val="Arial"/>
        <family val="2"/>
      </rPr>
      <t xml:space="preserve">00 </t>
    </r>
    <r>
      <rPr>
        <b/>
        <sz val="8"/>
        <color rgb="FF070505"/>
        <rFont val="Arial"/>
        <family val="2"/>
      </rPr>
      <t>DM</t>
    </r>
  </si>
  <si>
    <r>
      <t xml:space="preserve">1.300,00 </t>
    </r>
    <r>
      <rPr>
        <b/>
        <sz val="8"/>
        <color rgb="FF070505"/>
        <rFont val="Arial"/>
        <family val="2"/>
      </rPr>
      <t>DM</t>
    </r>
  </si>
  <si>
    <r>
      <t xml:space="preserve">16.800,00 </t>
    </r>
    <r>
      <rPr>
        <b/>
        <sz val="8"/>
        <color rgb="FF070505"/>
        <rFont val="Arial"/>
        <family val="2"/>
      </rPr>
      <t>DM</t>
    </r>
  </si>
  <si>
    <r>
      <t xml:space="preserve">1.400,00 </t>
    </r>
    <r>
      <rPr>
        <b/>
        <sz val="8"/>
        <color rgb="FF070505"/>
        <rFont val="Arial"/>
        <family val="2"/>
      </rPr>
      <t>DM</t>
    </r>
  </si>
  <si>
    <r>
      <t>19.200</t>
    </r>
    <r>
      <rPr>
        <sz val="7.5"/>
        <color rgb="FF2F2D2B"/>
        <rFont val="Arial"/>
        <family val="2"/>
      </rPr>
      <t>,</t>
    </r>
    <r>
      <rPr>
        <sz val="7.5"/>
        <color rgb="FF070505"/>
        <rFont val="Arial"/>
        <family val="2"/>
      </rPr>
      <t xml:space="preserve">00 </t>
    </r>
    <r>
      <rPr>
        <b/>
        <sz val="8"/>
        <color rgb="FF070505"/>
        <rFont val="Arial"/>
        <family val="2"/>
      </rPr>
      <t>DM</t>
    </r>
  </si>
  <si>
    <r>
      <t xml:space="preserve">1.600,00 </t>
    </r>
    <r>
      <rPr>
        <b/>
        <sz val="8"/>
        <color rgb="FF070505"/>
        <rFont val="Arial"/>
        <family val="2"/>
      </rPr>
      <t>DM</t>
    </r>
  </si>
  <si>
    <r>
      <t xml:space="preserve">20.400 </t>
    </r>
    <r>
      <rPr>
        <sz val="7.5"/>
        <color rgb="FF413D3D"/>
        <rFont val="Arial"/>
        <family val="2"/>
      </rPr>
      <t>,</t>
    </r>
    <r>
      <rPr>
        <sz val="7.5"/>
        <color rgb="FF070505"/>
        <rFont val="Arial"/>
        <family val="2"/>
      </rPr>
      <t xml:space="preserve">00 </t>
    </r>
    <r>
      <rPr>
        <b/>
        <sz val="8"/>
        <color rgb="FF070505"/>
        <rFont val="Arial"/>
        <family val="2"/>
      </rPr>
      <t>DM</t>
    </r>
  </si>
  <si>
    <r>
      <t xml:space="preserve">1.700,00 </t>
    </r>
    <r>
      <rPr>
        <b/>
        <sz val="8"/>
        <color rgb="FF070505"/>
        <rFont val="Arial"/>
        <family val="2"/>
      </rPr>
      <t>DM</t>
    </r>
  </si>
  <si>
    <r>
      <t xml:space="preserve">21.600 </t>
    </r>
    <r>
      <rPr>
        <sz val="7.5"/>
        <color rgb="FF413D3D"/>
        <rFont val="Arial"/>
        <family val="2"/>
      </rPr>
      <t>,</t>
    </r>
    <r>
      <rPr>
        <sz val="7.5"/>
        <color rgb="FF070505"/>
        <rFont val="Arial"/>
        <family val="2"/>
      </rPr>
      <t xml:space="preserve">00 </t>
    </r>
    <r>
      <rPr>
        <b/>
        <sz val="8"/>
        <color rgb="FF070505"/>
        <rFont val="Arial"/>
        <family val="2"/>
      </rPr>
      <t>DM</t>
    </r>
  </si>
  <si>
    <r>
      <t xml:space="preserve">1.800,00 </t>
    </r>
    <r>
      <rPr>
        <b/>
        <sz val="8"/>
        <color rgb="FF070505"/>
        <rFont val="Arial"/>
        <family val="2"/>
      </rPr>
      <t>DM</t>
    </r>
  </si>
  <si>
    <r>
      <t xml:space="preserve">22.800 </t>
    </r>
    <r>
      <rPr>
        <sz val="7.5"/>
        <color rgb="FF413D3D"/>
        <rFont val="Arial"/>
        <family val="2"/>
      </rPr>
      <t>,</t>
    </r>
    <r>
      <rPr>
        <sz val="7.5"/>
        <color rgb="FF070505"/>
        <rFont val="Arial"/>
        <family val="2"/>
      </rPr>
      <t xml:space="preserve">00 </t>
    </r>
    <r>
      <rPr>
        <b/>
        <sz val="8"/>
        <color rgb="FF070505"/>
        <rFont val="Arial"/>
        <family val="2"/>
      </rPr>
      <t>DM</t>
    </r>
  </si>
  <si>
    <r>
      <t xml:space="preserve">1.900,00 </t>
    </r>
    <r>
      <rPr>
        <b/>
        <sz val="8"/>
        <color rgb="FF070505"/>
        <rFont val="Arial"/>
        <family val="2"/>
      </rPr>
      <t>DM</t>
    </r>
  </si>
  <si>
    <r>
      <t xml:space="preserve">25.200 </t>
    </r>
    <r>
      <rPr>
        <sz val="7.5"/>
        <color rgb="FF2F2D2B"/>
        <rFont val="Arial"/>
        <family val="2"/>
      </rPr>
      <t>,</t>
    </r>
    <r>
      <rPr>
        <sz val="7.5"/>
        <color rgb="FF070505"/>
        <rFont val="Arial"/>
        <family val="2"/>
      </rPr>
      <t xml:space="preserve">00 </t>
    </r>
    <r>
      <rPr>
        <b/>
        <sz val="8"/>
        <color rgb="FF070505"/>
        <rFont val="Arial"/>
        <family val="2"/>
      </rPr>
      <t>DM</t>
    </r>
  </si>
  <si>
    <r>
      <t xml:space="preserve">2.100,00 </t>
    </r>
    <r>
      <rPr>
        <b/>
        <sz val="8"/>
        <color rgb="FF070505"/>
        <rFont val="Arial"/>
        <family val="2"/>
      </rPr>
      <t>DM</t>
    </r>
  </si>
  <si>
    <r>
      <t xml:space="preserve">27.600 </t>
    </r>
    <r>
      <rPr>
        <sz val="7.5"/>
        <color rgb="FF413D3D"/>
        <rFont val="Arial"/>
        <family val="2"/>
      </rPr>
      <t>,</t>
    </r>
    <r>
      <rPr>
        <sz val="7.5"/>
        <color rgb="FF070505"/>
        <rFont val="Arial"/>
        <family val="2"/>
      </rPr>
      <t xml:space="preserve">00 </t>
    </r>
    <r>
      <rPr>
        <b/>
        <sz val="8"/>
        <color rgb="FF070505"/>
        <rFont val="Arial"/>
        <family val="2"/>
      </rPr>
      <t>DM</t>
    </r>
  </si>
  <si>
    <r>
      <t xml:space="preserve">2.300,00 </t>
    </r>
    <r>
      <rPr>
        <b/>
        <sz val="8"/>
        <color rgb="FF070505"/>
        <rFont val="Arial"/>
        <family val="2"/>
      </rPr>
      <t>DM</t>
    </r>
  </si>
  <si>
    <r>
      <t xml:space="preserve">30.000 </t>
    </r>
    <r>
      <rPr>
        <sz val="7.5"/>
        <color rgb="FF413D3D"/>
        <rFont val="Arial"/>
        <family val="2"/>
      </rPr>
      <t>,</t>
    </r>
    <r>
      <rPr>
        <sz val="7.5"/>
        <color rgb="FF070505"/>
        <rFont val="Arial"/>
        <family val="2"/>
      </rPr>
      <t xml:space="preserve">00 </t>
    </r>
    <r>
      <rPr>
        <b/>
        <sz val="8"/>
        <color rgb="FF070505"/>
        <rFont val="Arial"/>
        <family val="2"/>
      </rPr>
      <t>DM</t>
    </r>
  </si>
  <si>
    <r>
      <t xml:space="preserve">2.500,00 </t>
    </r>
    <r>
      <rPr>
        <b/>
        <sz val="8"/>
        <color rgb="FF070505"/>
        <rFont val="Arial"/>
        <family val="2"/>
      </rPr>
      <t>DM</t>
    </r>
  </si>
  <si>
    <r>
      <t xml:space="preserve">33.600,00  </t>
    </r>
    <r>
      <rPr>
        <b/>
        <sz val="8"/>
        <color rgb="FF070505"/>
        <rFont val="Arial"/>
        <family val="2"/>
      </rPr>
      <t>DM</t>
    </r>
  </si>
  <si>
    <r>
      <t xml:space="preserve">2.800,00 </t>
    </r>
    <r>
      <rPr>
        <b/>
        <sz val="8"/>
        <color rgb="FF070505"/>
        <rFont val="Arial"/>
        <family val="2"/>
      </rPr>
      <t>DM</t>
    </r>
  </si>
  <si>
    <r>
      <t xml:space="preserve">37.200 </t>
    </r>
    <r>
      <rPr>
        <sz val="7.5"/>
        <color rgb="FF2F2D2B"/>
        <rFont val="Arial"/>
        <family val="2"/>
      </rPr>
      <t>,</t>
    </r>
    <r>
      <rPr>
        <sz val="7.5"/>
        <color rgb="FF070505"/>
        <rFont val="Arial"/>
        <family val="2"/>
      </rPr>
      <t xml:space="preserve">00 </t>
    </r>
    <r>
      <rPr>
        <b/>
        <sz val="8"/>
        <color rgb="FF070505"/>
        <rFont val="Arial"/>
        <family val="2"/>
      </rPr>
      <t>DM</t>
    </r>
  </si>
  <si>
    <r>
      <t xml:space="preserve">3.100,00 </t>
    </r>
    <r>
      <rPr>
        <b/>
        <sz val="8"/>
        <color rgb="FF070505"/>
        <rFont val="Arial"/>
        <family val="2"/>
      </rPr>
      <t>DM</t>
    </r>
  </si>
  <si>
    <r>
      <t xml:space="preserve">40.800 </t>
    </r>
    <r>
      <rPr>
        <sz val="7.5"/>
        <color rgb="FF413D3D"/>
        <rFont val="Arial"/>
        <family val="2"/>
      </rPr>
      <t>,</t>
    </r>
    <r>
      <rPr>
        <sz val="7.5"/>
        <color rgb="FF070505"/>
        <rFont val="Arial"/>
        <family val="2"/>
      </rPr>
      <t xml:space="preserve">00 </t>
    </r>
    <r>
      <rPr>
        <b/>
        <sz val="8"/>
        <color rgb="FF070505"/>
        <rFont val="Arial"/>
        <family val="2"/>
      </rPr>
      <t>DM</t>
    </r>
  </si>
  <si>
    <r>
      <t xml:space="preserve">3.400,00 </t>
    </r>
    <r>
      <rPr>
        <b/>
        <sz val="8"/>
        <color rgb="FF070505"/>
        <rFont val="Arial"/>
        <family val="2"/>
      </rPr>
      <t>DM</t>
    </r>
  </si>
  <si>
    <r>
      <t xml:space="preserve">44.400 </t>
    </r>
    <r>
      <rPr>
        <sz val="7.5"/>
        <color rgb="FF413D3D"/>
        <rFont val="Arial"/>
        <family val="2"/>
      </rPr>
      <t>,</t>
    </r>
    <r>
      <rPr>
        <sz val="7.5"/>
        <color rgb="FF070505"/>
        <rFont val="Arial"/>
        <family val="2"/>
      </rPr>
      <t xml:space="preserve">00 </t>
    </r>
    <r>
      <rPr>
        <b/>
        <sz val="8"/>
        <color rgb="FF070505"/>
        <rFont val="Arial"/>
        <family val="2"/>
      </rPr>
      <t>DM</t>
    </r>
  </si>
  <si>
    <r>
      <t xml:space="preserve">3.700,00 </t>
    </r>
    <r>
      <rPr>
        <b/>
        <sz val="8"/>
        <color rgb="FF070505"/>
        <rFont val="Arial"/>
        <family val="2"/>
      </rPr>
      <t>DM</t>
    </r>
  </si>
  <si>
    <r>
      <t xml:space="preserve">48.000,00  </t>
    </r>
    <r>
      <rPr>
        <b/>
        <sz val="8"/>
        <color rgb="FF070505"/>
        <rFont val="Arial"/>
        <family val="2"/>
      </rPr>
      <t>DM</t>
    </r>
  </si>
  <si>
    <r>
      <t xml:space="preserve">4.000,00 </t>
    </r>
    <r>
      <rPr>
        <b/>
        <sz val="8"/>
        <color rgb="FF070505"/>
        <rFont val="Arial"/>
        <family val="2"/>
      </rPr>
      <t>DM</t>
    </r>
  </si>
  <si>
    <r>
      <t xml:space="preserve">50.400 </t>
    </r>
    <r>
      <rPr>
        <sz val="7.5"/>
        <color rgb="FF2F2D2B"/>
        <rFont val="Arial"/>
        <family val="2"/>
      </rPr>
      <t>,</t>
    </r>
    <r>
      <rPr>
        <sz val="7.5"/>
        <color rgb="FF070505"/>
        <rFont val="Arial"/>
        <family val="2"/>
      </rPr>
      <t xml:space="preserve">00 </t>
    </r>
    <r>
      <rPr>
        <b/>
        <sz val="8"/>
        <color rgb="FF070505"/>
        <rFont val="Arial"/>
        <family val="2"/>
      </rPr>
      <t>DM</t>
    </r>
  </si>
  <si>
    <r>
      <t xml:space="preserve">4.200,00 </t>
    </r>
    <r>
      <rPr>
        <b/>
        <sz val="8"/>
        <color rgb="FF070505"/>
        <rFont val="Arial"/>
        <family val="2"/>
      </rPr>
      <t>DM</t>
    </r>
  </si>
  <si>
    <r>
      <t xml:space="preserve">52.800 </t>
    </r>
    <r>
      <rPr>
        <sz val="7.5"/>
        <color rgb="FF413D3D"/>
        <rFont val="Arial"/>
        <family val="2"/>
      </rPr>
      <t>,</t>
    </r>
    <r>
      <rPr>
        <sz val="7.5"/>
        <color rgb="FF070505"/>
        <rFont val="Arial"/>
        <family val="2"/>
      </rPr>
      <t xml:space="preserve">00 </t>
    </r>
    <r>
      <rPr>
        <b/>
        <sz val="8"/>
        <color rgb="FF070505"/>
        <rFont val="Arial"/>
        <family val="2"/>
      </rPr>
      <t>DM</t>
    </r>
  </si>
  <si>
    <r>
      <t xml:space="preserve">4.400,00 </t>
    </r>
    <r>
      <rPr>
        <b/>
        <sz val="8"/>
        <color rgb="FF070505"/>
        <rFont val="Arial"/>
        <family val="2"/>
      </rPr>
      <t>DM</t>
    </r>
  </si>
  <si>
    <r>
      <t xml:space="preserve">56.400 </t>
    </r>
    <r>
      <rPr>
        <sz val="7.5"/>
        <color rgb="FF413D3D"/>
        <rFont val="Arial"/>
        <family val="2"/>
      </rPr>
      <t>,</t>
    </r>
    <r>
      <rPr>
        <sz val="7.5"/>
        <color rgb="FF070505"/>
        <rFont val="Arial"/>
        <family val="2"/>
      </rPr>
      <t xml:space="preserve">00 </t>
    </r>
    <r>
      <rPr>
        <b/>
        <sz val="8"/>
        <color rgb="FF070505"/>
        <rFont val="Arial"/>
        <family val="2"/>
      </rPr>
      <t>DM</t>
    </r>
  </si>
  <si>
    <r>
      <t xml:space="preserve">4.700,00 </t>
    </r>
    <r>
      <rPr>
        <b/>
        <sz val="8"/>
        <color rgb="FF070505"/>
        <rFont val="Arial"/>
        <family val="2"/>
      </rPr>
      <t>DM</t>
    </r>
  </si>
  <si>
    <r>
      <t>1.1.83 - 31</t>
    </r>
    <r>
      <rPr>
        <sz val="7.5"/>
        <color rgb="FF413D3D"/>
        <rFont val="Arial"/>
        <family val="2"/>
      </rPr>
      <t xml:space="preserve">. </t>
    </r>
    <r>
      <rPr>
        <sz val="7.5"/>
        <color rgb="FF070505"/>
        <rFont val="Arial"/>
        <family val="2"/>
      </rPr>
      <t>8</t>
    </r>
    <r>
      <rPr>
        <sz val="7.5"/>
        <color rgb="FF2F2D2B"/>
        <rFont val="Arial"/>
        <family val="2"/>
      </rPr>
      <t>.</t>
    </r>
    <r>
      <rPr>
        <sz val="7.5"/>
        <color rgb="FF070505"/>
        <rFont val="Arial"/>
        <family val="2"/>
      </rPr>
      <t>83</t>
    </r>
  </si>
  <si>
    <r>
      <t xml:space="preserve">60.000 </t>
    </r>
    <r>
      <rPr>
        <sz val="7.5"/>
        <color rgb="FF2F2D2B"/>
        <rFont val="Arial"/>
        <family val="2"/>
      </rPr>
      <t>,</t>
    </r>
    <r>
      <rPr>
        <sz val="7.5"/>
        <color rgb="FF070505"/>
        <rFont val="Arial"/>
        <family val="2"/>
      </rPr>
      <t xml:space="preserve">00 </t>
    </r>
    <r>
      <rPr>
        <b/>
        <sz val="8"/>
        <color rgb="FF070505"/>
        <rFont val="Arial"/>
        <family val="2"/>
      </rPr>
      <t>DM</t>
    </r>
  </si>
  <si>
    <r>
      <t xml:space="preserve">5.000,00 </t>
    </r>
    <r>
      <rPr>
        <b/>
        <sz val="8"/>
        <color rgb="FF070505"/>
        <rFont val="Arial"/>
        <family val="2"/>
      </rPr>
      <t>DM</t>
    </r>
  </si>
  <si>
    <r>
      <t>1</t>
    </r>
    <r>
      <rPr>
        <sz val="7.5"/>
        <color rgb="FF2F2D2B"/>
        <rFont val="Arial"/>
        <family val="2"/>
      </rPr>
      <t>.9.</t>
    </r>
    <r>
      <rPr>
        <sz val="7.5"/>
        <color rgb="FF070505"/>
        <rFont val="Arial"/>
        <family val="2"/>
      </rPr>
      <t>83 - 31.12</t>
    </r>
    <r>
      <rPr>
        <sz val="7.5"/>
        <color rgb="FF2F2D2B"/>
        <rFont val="Arial"/>
        <family val="2"/>
      </rPr>
      <t>.</t>
    </r>
    <r>
      <rPr>
        <sz val="7.5"/>
        <color rgb="FF070505"/>
        <rFont val="Arial"/>
        <family val="2"/>
      </rPr>
      <t>83</t>
    </r>
  </si>
  <si>
    <r>
      <t xml:space="preserve">62.400 </t>
    </r>
    <r>
      <rPr>
        <sz val="7.5"/>
        <color rgb="FF413D3D"/>
        <rFont val="Arial"/>
        <family val="2"/>
      </rPr>
      <t>,</t>
    </r>
    <r>
      <rPr>
        <sz val="7.5"/>
        <color rgb="FF070505"/>
        <rFont val="Arial"/>
        <family val="2"/>
      </rPr>
      <t xml:space="preserve">00 </t>
    </r>
    <r>
      <rPr>
        <b/>
        <sz val="8"/>
        <color rgb="FF070505"/>
        <rFont val="Arial"/>
        <family val="2"/>
      </rPr>
      <t>DM</t>
    </r>
  </si>
  <si>
    <r>
      <t xml:space="preserve">5.200,00 </t>
    </r>
    <r>
      <rPr>
        <b/>
        <sz val="8"/>
        <color rgb="FF070505"/>
        <rFont val="Arial"/>
        <family val="2"/>
      </rPr>
      <t>DM</t>
    </r>
  </si>
  <si>
    <r>
      <t>1.1.85 - 31</t>
    </r>
    <r>
      <rPr>
        <sz val="7.5"/>
        <color rgb="FF413D3D"/>
        <rFont val="Arial"/>
        <family val="2"/>
      </rPr>
      <t xml:space="preserve">.  </t>
    </r>
    <r>
      <rPr>
        <sz val="7.5"/>
        <color rgb="FF070505"/>
        <rFont val="Arial"/>
        <family val="2"/>
      </rPr>
      <t>5</t>
    </r>
    <r>
      <rPr>
        <sz val="7.5"/>
        <color rgb="FF2F2D2B"/>
        <rFont val="Arial"/>
        <family val="2"/>
      </rPr>
      <t>.</t>
    </r>
    <r>
      <rPr>
        <sz val="7.5"/>
        <color rgb="FF070505"/>
        <rFont val="Arial"/>
        <family val="2"/>
      </rPr>
      <t>85</t>
    </r>
  </si>
  <si>
    <r>
      <t xml:space="preserve">64.800 </t>
    </r>
    <r>
      <rPr>
        <sz val="7.5"/>
        <color rgb="FF413D3D"/>
        <rFont val="Arial"/>
        <family val="2"/>
      </rPr>
      <t>,</t>
    </r>
    <r>
      <rPr>
        <sz val="7.5"/>
        <color rgb="FF070505"/>
        <rFont val="Arial"/>
        <family val="2"/>
      </rPr>
      <t xml:space="preserve">00 </t>
    </r>
    <r>
      <rPr>
        <b/>
        <sz val="8"/>
        <color rgb="FF070505"/>
        <rFont val="Arial"/>
        <family val="2"/>
      </rPr>
      <t>DM</t>
    </r>
  </si>
  <si>
    <r>
      <t xml:space="preserve">5.400,00 </t>
    </r>
    <r>
      <rPr>
        <b/>
        <sz val="8"/>
        <color rgb="FF070505"/>
        <rFont val="Arial"/>
        <family val="2"/>
      </rPr>
      <t>DM</t>
    </r>
  </si>
  <si>
    <r>
      <t>1</t>
    </r>
    <r>
      <rPr>
        <sz val="7.5"/>
        <color rgb="FF2F2D2B"/>
        <rFont val="Arial"/>
        <family val="2"/>
      </rPr>
      <t>.</t>
    </r>
    <r>
      <rPr>
        <sz val="7.5"/>
        <color rgb="FF070505"/>
        <rFont val="Arial"/>
        <family val="2"/>
      </rPr>
      <t>6</t>
    </r>
    <r>
      <rPr>
        <sz val="7.5"/>
        <color rgb="FF2F2D2B"/>
        <rFont val="Arial"/>
        <family val="2"/>
      </rPr>
      <t>.</t>
    </r>
    <r>
      <rPr>
        <sz val="7.5"/>
        <color rgb="FF070505"/>
        <rFont val="Arial"/>
        <family val="2"/>
      </rPr>
      <t>85 - 31.12</t>
    </r>
    <r>
      <rPr>
        <sz val="7.5"/>
        <color rgb="FF2F2D2B"/>
        <rFont val="Arial"/>
        <family val="2"/>
      </rPr>
      <t>.</t>
    </r>
    <r>
      <rPr>
        <sz val="7.5"/>
        <color rgb="FF070505"/>
        <rFont val="Arial"/>
        <family val="2"/>
      </rPr>
      <t>85</t>
    </r>
  </si>
  <si>
    <r>
      <t xml:space="preserve">67.200 </t>
    </r>
    <r>
      <rPr>
        <sz val="7.5"/>
        <color rgb="FF2F2D2B"/>
        <rFont val="Arial"/>
        <family val="2"/>
      </rPr>
      <t>,</t>
    </r>
    <r>
      <rPr>
        <sz val="7.5"/>
        <color rgb="FF070505"/>
        <rFont val="Arial"/>
        <family val="2"/>
      </rPr>
      <t xml:space="preserve">00 </t>
    </r>
    <r>
      <rPr>
        <b/>
        <sz val="8"/>
        <color rgb="FF070505"/>
        <rFont val="Arial"/>
        <family val="2"/>
      </rPr>
      <t>DM</t>
    </r>
  </si>
  <si>
    <r>
      <t xml:space="preserve">5.600,00 </t>
    </r>
    <r>
      <rPr>
        <b/>
        <sz val="8"/>
        <color rgb="FF070505"/>
        <rFont val="Arial"/>
        <family val="2"/>
      </rPr>
      <t>DM</t>
    </r>
  </si>
  <si>
    <r>
      <t xml:space="preserve">68.400 </t>
    </r>
    <r>
      <rPr>
        <sz val="7.5"/>
        <color rgb="FF413D3D"/>
        <rFont val="Arial"/>
        <family val="2"/>
      </rPr>
      <t>,</t>
    </r>
    <r>
      <rPr>
        <sz val="7.5"/>
        <color rgb="FF070505"/>
        <rFont val="Arial"/>
        <family val="2"/>
      </rPr>
      <t xml:space="preserve">00 </t>
    </r>
    <r>
      <rPr>
        <b/>
        <sz val="8"/>
        <color rgb="FF070505"/>
        <rFont val="Arial"/>
        <family val="2"/>
      </rPr>
      <t>DM</t>
    </r>
  </si>
  <si>
    <r>
      <t xml:space="preserve">5.700,00 </t>
    </r>
    <r>
      <rPr>
        <b/>
        <sz val="8"/>
        <color rgb="FF070505"/>
        <rFont val="Arial"/>
        <family val="2"/>
      </rPr>
      <t>DM</t>
    </r>
  </si>
  <si>
    <r>
      <t xml:space="preserve">72.000 </t>
    </r>
    <r>
      <rPr>
        <sz val="7.5"/>
        <color rgb="FF413D3D"/>
        <rFont val="Arial"/>
        <family val="2"/>
      </rPr>
      <t>,</t>
    </r>
    <r>
      <rPr>
        <sz val="7.5"/>
        <color rgb="FF070505"/>
        <rFont val="Arial"/>
        <family val="2"/>
      </rPr>
      <t xml:space="preserve">00 </t>
    </r>
    <r>
      <rPr>
        <b/>
        <sz val="8"/>
        <color rgb="FF070505"/>
        <rFont val="Arial"/>
        <family val="2"/>
      </rPr>
      <t>DM</t>
    </r>
  </si>
  <si>
    <r>
      <t xml:space="preserve">6.000,00 </t>
    </r>
    <r>
      <rPr>
        <b/>
        <sz val="8"/>
        <color rgb="FF070505"/>
        <rFont val="Arial"/>
        <family val="2"/>
      </rPr>
      <t>DM</t>
    </r>
  </si>
  <si>
    <r>
      <t xml:space="preserve">73.200,00  </t>
    </r>
    <r>
      <rPr>
        <b/>
        <sz val="8"/>
        <color rgb="FF070505"/>
        <rFont val="Arial"/>
        <family val="2"/>
      </rPr>
      <t>DM</t>
    </r>
  </si>
  <si>
    <r>
      <t xml:space="preserve">6.100,00 </t>
    </r>
    <r>
      <rPr>
        <b/>
        <sz val="8"/>
        <color rgb="FF070505"/>
        <rFont val="Arial"/>
        <family val="2"/>
      </rPr>
      <t>DM</t>
    </r>
  </si>
  <si>
    <r>
      <t xml:space="preserve">75.600 </t>
    </r>
    <r>
      <rPr>
        <sz val="7.5"/>
        <color rgb="FF2F2D2B"/>
        <rFont val="Arial"/>
        <family val="2"/>
      </rPr>
      <t>,</t>
    </r>
    <r>
      <rPr>
        <sz val="7.5"/>
        <color rgb="FF070505"/>
        <rFont val="Arial"/>
        <family val="2"/>
      </rPr>
      <t xml:space="preserve">00 </t>
    </r>
    <r>
      <rPr>
        <b/>
        <sz val="8"/>
        <color rgb="FF070505"/>
        <rFont val="Arial"/>
        <family val="2"/>
      </rPr>
      <t>DM</t>
    </r>
  </si>
  <si>
    <r>
      <t xml:space="preserve">6.300,00 </t>
    </r>
    <r>
      <rPr>
        <b/>
        <sz val="8"/>
        <color rgb="FF070505"/>
        <rFont val="Arial"/>
        <family val="2"/>
      </rPr>
      <t>DM</t>
    </r>
  </si>
  <si>
    <r>
      <t>1.1.91 - 31</t>
    </r>
    <r>
      <rPr>
        <sz val="7.5"/>
        <color rgb="FF413D3D"/>
        <rFont val="Arial"/>
        <family val="2"/>
      </rPr>
      <t xml:space="preserve">. </t>
    </r>
    <r>
      <rPr>
        <sz val="7.5"/>
        <color rgb="FF070505"/>
        <rFont val="Arial"/>
        <family val="2"/>
      </rPr>
      <t>3</t>
    </r>
    <r>
      <rPr>
        <sz val="7.5"/>
        <color rgb="FF2F2D2B"/>
        <rFont val="Arial"/>
        <family val="2"/>
      </rPr>
      <t>.9</t>
    </r>
    <r>
      <rPr>
        <sz val="7.5"/>
        <color rgb="FF070505"/>
        <rFont val="Arial"/>
        <family val="2"/>
      </rPr>
      <t>1</t>
    </r>
  </si>
  <si>
    <r>
      <t xml:space="preserve">78.000 </t>
    </r>
    <r>
      <rPr>
        <sz val="7.5"/>
        <color rgb="FF413D3D"/>
        <rFont val="Arial"/>
        <family val="2"/>
      </rPr>
      <t>,</t>
    </r>
    <r>
      <rPr>
        <sz val="7.5"/>
        <color rgb="FF070505"/>
        <rFont val="Arial"/>
        <family val="2"/>
      </rPr>
      <t xml:space="preserve">00 </t>
    </r>
    <r>
      <rPr>
        <b/>
        <sz val="8"/>
        <color rgb="FF070505"/>
        <rFont val="Arial"/>
        <family val="2"/>
      </rPr>
      <t>DM</t>
    </r>
  </si>
  <si>
    <r>
      <t xml:space="preserve">6.500,00 </t>
    </r>
    <r>
      <rPr>
        <b/>
        <sz val="8"/>
        <color rgb="FF070505"/>
        <rFont val="Arial"/>
        <family val="2"/>
      </rPr>
      <t>DM</t>
    </r>
  </si>
  <si>
    <r>
      <t>1.4</t>
    </r>
    <r>
      <rPr>
        <sz val="7.5"/>
        <color rgb="FF2F2D2B"/>
        <rFont val="Arial"/>
        <family val="2"/>
      </rPr>
      <t>.9</t>
    </r>
    <r>
      <rPr>
        <sz val="7.5"/>
        <color rgb="FF070505"/>
        <rFont val="Arial"/>
        <family val="2"/>
      </rPr>
      <t>1 - 31.12</t>
    </r>
    <r>
      <rPr>
        <sz val="7.5"/>
        <color rgb="FF2F2D2B"/>
        <rFont val="Arial"/>
        <family val="2"/>
      </rPr>
      <t>.9</t>
    </r>
    <r>
      <rPr>
        <sz val="7.5"/>
        <color rgb="FF070505"/>
        <rFont val="Arial"/>
        <family val="2"/>
      </rPr>
      <t>1</t>
    </r>
  </si>
  <si>
    <r>
      <t xml:space="preserve">81.600 </t>
    </r>
    <r>
      <rPr>
        <sz val="7.5"/>
        <color rgb="FF2F2D2B"/>
        <rFont val="Arial"/>
        <family val="2"/>
      </rPr>
      <t>,</t>
    </r>
    <r>
      <rPr>
        <sz val="7.5"/>
        <color rgb="FF070505"/>
        <rFont val="Arial"/>
        <family val="2"/>
      </rPr>
      <t xml:space="preserve">00 </t>
    </r>
    <r>
      <rPr>
        <b/>
        <sz val="8"/>
        <color rgb="FF070505"/>
        <rFont val="Arial"/>
        <family val="2"/>
      </rPr>
      <t>DM</t>
    </r>
  </si>
  <si>
    <r>
      <t xml:space="preserve">6.800,00 </t>
    </r>
    <r>
      <rPr>
        <b/>
        <sz val="8"/>
        <color rgb="FF070505"/>
        <rFont val="Arial"/>
        <family val="2"/>
      </rPr>
      <t>DM</t>
    </r>
  </si>
  <si>
    <r>
      <t xml:space="preserve">86.400 </t>
    </r>
    <r>
      <rPr>
        <sz val="7.5"/>
        <color rgb="FF2F2D2B"/>
        <rFont val="Arial"/>
        <family val="2"/>
      </rPr>
      <t>,</t>
    </r>
    <r>
      <rPr>
        <sz val="7.5"/>
        <color rgb="FF070505"/>
        <rFont val="Arial"/>
        <family val="2"/>
      </rPr>
      <t xml:space="preserve">00 </t>
    </r>
    <r>
      <rPr>
        <b/>
        <sz val="8"/>
        <color rgb="FF070505"/>
        <rFont val="Arial"/>
        <family val="2"/>
      </rPr>
      <t>DM</t>
    </r>
  </si>
  <si>
    <r>
      <t xml:space="preserve">7.200,00 </t>
    </r>
    <r>
      <rPr>
        <b/>
        <sz val="8"/>
        <color rgb="FF070505"/>
        <rFont val="Arial"/>
        <family val="2"/>
      </rPr>
      <t>DM</t>
    </r>
  </si>
  <si>
    <r>
      <t xml:space="preserve">91.200 </t>
    </r>
    <r>
      <rPr>
        <sz val="7.5"/>
        <color rgb="FF413D3D"/>
        <rFont val="Arial"/>
        <family val="2"/>
      </rPr>
      <t>,</t>
    </r>
    <r>
      <rPr>
        <sz val="7.5"/>
        <color rgb="FF070505"/>
        <rFont val="Arial"/>
        <family val="2"/>
      </rPr>
      <t xml:space="preserve">00 </t>
    </r>
    <r>
      <rPr>
        <b/>
        <sz val="8"/>
        <color rgb="FF070505"/>
        <rFont val="Arial"/>
        <family val="2"/>
      </rPr>
      <t>DM</t>
    </r>
  </si>
  <si>
    <r>
      <t xml:space="preserve">7.600,00 </t>
    </r>
    <r>
      <rPr>
        <b/>
        <sz val="8"/>
        <color rgb="FF070505"/>
        <rFont val="Arial"/>
        <family val="2"/>
      </rPr>
      <t>DM</t>
    </r>
  </si>
  <si>
    <r>
      <t xml:space="preserve">93.600 </t>
    </r>
    <r>
      <rPr>
        <sz val="7.5"/>
        <color rgb="FF413D3D"/>
        <rFont val="Arial"/>
        <family val="2"/>
      </rPr>
      <t>,</t>
    </r>
    <r>
      <rPr>
        <sz val="7.5"/>
        <color rgb="FF070505"/>
        <rFont val="Arial"/>
        <family val="2"/>
      </rPr>
      <t xml:space="preserve">00 </t>
    </r>
    <r>
      <rPr>
        <b/>
        <sz val="8"/>
        <color rgb="FF070505"/>
        <rFont val="Arial"/>
        <family val="2"/>
      </rPr>
      <t>DM</t>
    </r>
  </si>
  <si>
    <r>
      <t xml:space="preserve">7.800,00 </t>
    </r>
    <r>
      <rPr>
        <b/>
        <sz val="8"/>
        <color rgb="FF070505"/>
        <rFont val="Arial"/>
        <family val="2"/>
      </rPr>
      <t>DM</t>
    </r>
  </si>
  <si>
    <r>
      <t xml:space="preserve">96.000,00  </t>
    </r>
    <r>
      <rPr>
        <b/>
        <sz val="8"/>
        <color rgb="FF070505"/>
        <rFont val="Arial"/>
        <family val="2"/>
      </rPr>
      <t>DM</t>
    </r>
  </si>
  <si>
    <r>
      <t xml:space="preserve">8.000,00 </t>
    </r>
    <r>
      <rPr>
        <b/>
        <sz val="8"/>
        <color rgb="FF070505"/>
        <rFont val="Arial"/>
        <family val="2"/>
      </rPr>
      <t>DM</t>
    </r>
  </si>
  <si>
    <r>
      <t xml:space="preserve">98.400 </t>
    </r>
    <r>
      <rPr>
        <sz val="7.5"/>
        <color rgb="FF2F2D2B"/>
        <rFont val="Arial"/>
        <family val="2"/>
      </rPr>
      <t>,</t>
    </r>
    <r>
      <rPr>
        <sz val="7.5"/>
        <color rgb="FF070505"/>
        <rFont val="Arial"/>
        <family val="2"/>
      </rPr>
      <t xml:space="preserve">00 </t>
    </r>
    <r>
      <rPr>
        <b/>
        <sz val="8"/>
        <color rgb="FF070505"/>
        <rFont val="Arial"/>
        <family val="2"/>
      </rPr>
      <t>DM</t>
    </r>
  </si>
  <si>
    <r>
      <t xml:space="preserve">8.200,00 </t>
    </r>
    <r>
      <rPr>
        <b/>
        <sz val="8"/>
        <color rgb="FF070505"/>
        <rFont val="Arial"/>
        <family val="2"/>
      </rPr>
      <t>DM</t>
    </r>
  </si>
  <si>
    <r>
      <t>100.800</t>
    </r>
    <r>
      <rPr>
        <sz val="7.5"/>
        <color rgb="FF413D3D"/>
        <rFont val="Arial"/>
        <family val="2"/>
      </rPr>
      <t>,</t>
    </r>
    <r>
      <rPr>
        <sz val="7.5"/>
        <color rgb="FF070505"/>
        <rFont val="Arial"/>
        <family val="2"/>
      </rPr>
      <t xml:space="preserve">00 </t>
    </r>
    <r>
      <rPr>
        <b/>
        <sz val="8"/>
        <color rgb="FF070505"/>
        <rFont val="Arial"/>
        <family val="2"/>
      </rPr>
      <t>DM</t>
    </r>
  </si>
  <si>
    <r>
      <t xml:space="preserve">8.400,00 </t>
    </r>
    <r>
      <rPr>
        <b/>
        <sz val="8"/>
        <color rgb="FF070505"/>
        <rFont val="Arial"/>
        <family val="2"/>
      </rPr>
      <t>DM</t>
    </r>
  </si>
  <si>
    <r>
      <t>1</t>
    </r>
    <r>
      <rPr>
        <sz val="7.5"/>
        <color rgb="FF423F3F"/>
        <rFont val="Arial"/>
        <family val="2"/>
      </rPr>
      <t>.</t>
    </r>
    <r>
      <rPr>
        <sz val="7.5"/>
        <color rgb="FF080505"/>
        <rFont val="Arial"/>
        <family val="2"/>
      </rPr>
      <t>1</t>
    </r>
    <r>
      <rPr>
        <sz val="7.5"/>
        <color rgb="FF423F3F"/>
        <rFont val="Arial"/>
        <family val="2"/>
      </rPr>
      <t>.</t>
    </r>
    <r>
      <rPr>
        <sz val="7.5"/>
        <color rgb="FF080505"/>
        <rFont val="Arial"/>
        <family val="2"/>
      </rPr>
      <t>99 - 31. 3.99</t>
    </r>
  </si>
  <si>
    <t>1.4.99 - 31.12.99</t>
  </si>
  <si>
    <t>Anwartschaften für Pflegezeiten ab dem 1.1.2018</t>
  </si>
  <si>
    <r>
      <t xml:space="preserve">(§ </t>
    </r>
    <r>
      <rPr>
        <sz val="7.5"/>
        <color rgb="FF080505"/>
        <rFont val="Arial"/>
        <family val="2"/>
      </rPr>
      <t xml:space="preserve">166 Abs </t>
    </r>
    <r>
      <rPr>
        <sz val="7.5"/>
        <color rgb="FF423F3F"/>
        <rFont val="Arial"/>
        <family val="2"/>
      </rPr>
      <t xml:space="preserve">. </t>
    </r>
    <r>
      <rPr>
        <sz val="7.5"/>
        <color rgb="FF080505"/>
        <rFont val="Arial"/>
        <family val="2"/>
      </rPr>
      <t>2 SGB VI)</t>
    </r>
  </si>
  <si>
    <t>Pflege- grad</t>
  </si>
  <si>
    <t>wöchtliche Pflege</t>
  </si>
  <si>
    <t>= mtl. Entgelt an mindestens</t>
  </si>
  <si>
    <t>für die RV zwei Tagen je Woche</t>
  </si>
  <si>
    <t>= mtl. Beitrag</t>
  </si>
  <si>
    <t>= monatliche</t>
  </si>
  <si>
    <t>in der RV</t>
  </si>
  <si>
    <t>Anwartschaft für ein Jahr Pflege</t>
  </si>
  <si>
    <t>es entstehen keine Anwartschaften in der Rentenversicherung</t>
  </si>
  <si>
    <t>a</t>
  </si>
  <si>
    <t>mind. 10 Std.</t>
  </si>
  <si>
    <t>b</t>
  </si>
  <si>
    <t>c</t>
  </si>
  <si>
    <t>822, 15 €</t>
  </si>
  <si>
    <t>396 46 €</t>
  </si>
  <si>
    <t>Pflegebedürftige erhalten:   a = nur Sachleistung,   b = Kombinationsleistung,   c = nur Pflegegeld Bitte beachten: Bei mehreren Pflegepersonen gelten die Werte anteilig!</t>
  </si>
  <si>
    <t>9,3% Rentenversicherung</t>
  </si>
  <si>
    <t>https://www.lohn-info.de/versorgungsfreibetrag.html</t>
  </si>
  <si>
    <t>Jahr des Versorgungs­beginns</t>
  </si>
  <si>
    <t>Versorgungs­freibetrag</t>
  </si>
  <si>
    <t>Zuschlag zum Versorgungs­freibetrag jährlich</t>
  </si>
  <si>
    <t>Prozentsatz</t>
  </si>
  <si>
    <t>Höchstbetrag jährlich</t>
  </si>
  <si>
    <t>bis 2005</t>
  </si>
  <si>
    <t>Betriebrente 
Monate</t>
  </si>
  <si>
    <t>pro Jahr</t>
  </si>
  <si>
    <t>https://www.gesetze-im-internet.de/estg/__19.html</t>
  </si>
  <si>
    <t>Renten-Brutto-Nettorechner</t>
  </si>
  <si>
    <t xml:space="preserve">Brutto </t>
  </si>
  <si>
    <t>http://localhost:48669/lexsoft/default/sk_akad.html?sourceid=zDy2ajVKWz0#docid:9704547:frg_k-10849</t>
  </si>
  <si>
    <t>https://www.steuern.de/betriebsrente-und-pension.html</t>
  </si>
  <si>
    <t>§ 3 Nr. 56, 63, 66 EStG</t>
  </si>
  <si>
    <t>gerundet</t>
  </si>
  <si>
    <t>( zu versteuerndes Eink.)</t>
  </si>
  <si>
    <t>Summe SV</t>
  </si>
  <si>
    <t>GdB 40</t>
  </si>
  <si>
    <t>ohne Gdb</t>
  </si>
  <si>
    <t>Betriebsrente</t>
  </si>
  <si>
    <t>4</t>
  </si>
  <si>
    <t>0</t>
  </si>
  <si>
    <t>hellgelb = Eingabenzellen</t>
  </si>
  <si>
    <t>1 = ohne Kinder / 0= ja, Kinder egal wie alt</t>
  </si>
  <si>
    <t>FA = Finanzamt</t>
  </si>
  <si>
    <t>https://www.finanzrechner.org/sonstige-rechner/rentenbesteuerungsrechner/</t>
  </si>
  <si>
    <t>- Versorgungsfreibetrag:</t>
  </si>
  <si>
    <t>- Zuschlag zum Versorgungsfreibetrag:</t>
  </si>
  <si>
    <t>Krankenkassenbeitrag auf Betriebsrente:</t>
  </si>
  <si>
    <t>???</t>
  </si>
  <si>
    <t>Zuschlag zum Versorgungsfreibetrag:</t>
  </si>
  <si>
    <t>Zuschlag zum Versorgungsfreibetrag</t>
  </si>
  <si>
    <t>Versorgungsfreibetrag</t>
  </si>
  <si>
    <t>Steuerpflichtig</t>
  </si>
  <si>
    <t>Steuerfrei</t>
  </si>
  <si>
    <t>Versorgungsfreibetrag:</t>
  </si>
  <si>
    <t>????</t>
  </si>
  <si>
    <t>Vertragsabschluss bis zum 31.12.2004 und Bedingungen für Steuerfreiheit eingehalten</t>
  </si>
  <si>
    <t>Werner</t>
  </si>
  <si>
    <t>Umgebaut VBA + Zellfuktion von Werner K. 13.4.2021 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</si>
</sst>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0\ &quot;€&quot;;[Red]\-#,##0\ &quot;€&quot;"/>
    <numFmt numFmtId="7" formatCode="#,##0.00\ &quot;€&quot;;\-#,##0.00\ &quot;€&quot;"/>
    <numFmt numFmtId="8" formatCode="#,##0.00\ &quot;€&quot;;[Red]\-#,##0.00\ &quot;€&quot;"/>
    <numFmt numFmtId="44" formatCode="_-* #,##0.00\ &quot;€&quot;_-;\-* #,##0.00\ &quot;€&quot;_-;_-* &quot;-&quot;??\ &quot;€&quot;_-;_-@_-"/>
    <numFmt numFmtId="164" formatCode="_-* #,##0.00\ &quot;DM&quot;_-;\-* #,##0.00\ &quot;DM&quot;_-;_-* &quot;-&quot;??\ &quot;DM&quot;_-;_-@_-"/>
    <numFmt numFmtId="165" formatCode="0.000"/>
    <numFmt numFmtId="166" formatCode="yyyy"/>
    <numFmt numFmtId="167" formatCode="_-* #,##0.00\ [$€-1]_-;\-* #,##0.00\ [$€-1]_-;_-* &quot;-&quot;??\ [$€-1]_-"/>
    <numFmt numFmtId="168" formatCode="d/m/yyyy"/>
    <numFmt numFmtId="169" formatCode="#,##0.00\ &quot;€&quot;"/>
    <numFmt numFmtId="170" formatCode="0.0"/>
    <numFmt numFmtId="171" formatCode="#,##0.00_ ;\-#,##0.00\ "/>
    <numFmt numFmtId="172" formatCode="#,##0.000_ ;\-#,##0.000\ "/>
    <numFmt numFmtId="173" formatCode="_-* #,##0.00\ [$€-1]_-;\-* #,##0.00\ [$€-1]_-;_-* &quot;-&quot;??\ [$€-1]_-;_-@_-"/>
    <numFmt numFmtId="174" formatCode="_-* #,##0.00\ [$€-407]_-;\-* #,##0.00\ [$€-407]_-;_-* &quot;-&quot;??\ [$€-407]_-;_-@_-"/>
    <numFmt numFmtId="175" formatCode="_-* #,##0\ [$€-1]_-;\-* #,##0\ [$€-1]_-;_-* &quot;-&quot;??\ [$€-1]_-;_-@_-"/>
    <numFmt numFmtId="176" formatCode="0.00_ ;[Red]\-0.00\ "/>
    <numFmt numFmtId="177" formatCode="#,###\ &quot;DM&quot;"/>
    <numFmt numFmtId="178" formatCode="&quot;€&quot;#,##0.00_);[Red]\(&quot;€&quot;#,##0.00\)"/>
    <numFmt numFmtId="179" formatCode="_ * #,##0.00_ \ [$€-1]_ ;_ * \-#,##0.00\ \ [$€-1]_ ;_ * &quot;-&quot;??_ \ [$€-1]_ ;_ @_ "/>
  </numFmts>
  <fonts count="77" x14ac:knownFonts="1">
    <font>
      <sz val="10"/>
      <name val="Arial"/>
    </font>
    <font>
      <sz val="10"/>
      <name val="Arial"/>
      <family val="2"/>
    </font>
    <font>
      <b/>
      <sz val="10"/>
      <name val="Arial"/>
      <family val="2"/>
    </font>
    <font>
      <sz val="10"/>
      <name val="Arial"/>
      <family val="2"/>
    </font>
    <font>
      <u/>
      <sz val="10"/>
      <color indexed="12"/>
      <name val="Arial"/>
      <family val="2"/>
    </font>
    <font>
      <b/>
      <sz val="12"/>
      <color indexed="16"/>
      <name val="Arial"/>
      <family val="2"/>
    </font>
    <font>
      <b/>
      <sz val="10"/>
      <color indexed="12"/>
      <name val="Arial"/>
      <family val="2"/>
    </font>
    <font>
      <sz val="10"/>
      <color indexed="12"/>
      <name val="Arial"/>
      <family val="2"/>
    </font>
    <font>
      <b/>
      <sz val="10"/>
      <color indexed="10"/>
      <name val="Arial"/>
      <family val="2"/>
    </font>
    <font>
      <b/>
      <sz val="18"/>
      <color indexed="16"/>
      <name val="Arial"/>
      <family val="2"/>
    </font>
    <font>
      <sz val="8"/>
      <name val="Arial"/>
      <family val="2"/>
    </font>
    <font>
      <b/>
      <sz val="10"/>
      <color indexed="53"/>
      <name val="Arial"/>
      <family val="2"/>
    </font>
    <font>
      <sz val="10"/>
      <color indexed="9"/>
      <name val="Arial"/>
      <family val="2"/>
    </font>
    <font>
      <b/>
      <sz val="10"/>
      <color indexed="9"/>
      <name val="Arial"/>
      <family val="2"/>
    </font>
    <font>
      <sz val="10"/>
      <color indexed="22"/>
      <name val="Arial"/>
      <family val="2"/>
    </font>
    <font>
      <sz val="8"/>
      <color indexed="81"/>
      <name val="Tahoma"/>
      <family val="2"/>
    </font>
    <font>
      <b/>
      <sz val="8"/>
      <color indexed="10"/>
      <name val="Arial Narrow"/>
      <family val="2"/>
    </font>
    <font>
      <sz val="10"/>
      <color indexed="60"/>
      <name val="Arial"/>
      <family val="2"/>
    </font>
    <font>
      <sz val="10"/>
      <color indexed="41"/>
      <name val="Arial"/>
      <family val="2"/>
    </font>
    <font>
      <sz val="9"/>
      <name val="Arial"/>
      <family val="2"/>
    </font>
    <font>
      <b/>
      <sz val="12"/>
      <color indexed="48"/>
      <name val="Arial"/>
      <family val="2"/>
    </font>
    <font>
      <b/>
      <sz val="16"/>
      <name val="Arial"/>
      <family val="2"/>
    </font>
    <font>
      <b/>
      <sz val="10"/>
      <name val="Arial"/>
      <family val="2"/>
    </font>
    <font>
      <sz val="8"/>
      <color indexed="10"/>
      <name val="Arial"/>
      <family val="2"/>
    </font>
    <font>
      <sz val="8"/>
      <color indexed="12"/>
      <name val="Arial"/>
      <family val="2"/>
    </font>
    <font>
      <sz val="9"/>
      <color indexed="48"/>
      <name val="Arial"/>
      <family val="2"/>
    </font>
    <font>
      <sz val="6"/>
      <name val="Arial"/>
      <family val="2"/>
    </font>
    <font>
      <sz val="7"/>
      <color indexed="62"/>
      <name val="Arial"/>
      <family val="2"/>
    </font>
    <font>
      <sz val="8"/>
      <color indexed="62"/>
      <name val="Arial"/>
      <family val="2"/>
    </font>
    <font>
      <sz val="10"/>
      <name val="Courier New"/>
      <family val="3"/>
    </font>
    <font>
      <u/>
      <sz val="9"/>
      <color indexed="12"/>
      <name val="Arial"/>
      <family val="2"/>
    </font>
    <font>
      <b/>
      <sz val="9"/>
      <name val="Courier New"/>
      <family val="3"/>
    </font>
    <font>
      <sz val="9"/>
      <name val="Courier New"/>
      <family val="3"/>
    </font>
    <font>
      <sz val="9"/>
      <color indexed="81"/>
      <name val="Tahoma"/>
      <family val="2"/>
    </font>
    <font>
      <b/>
      <sz val="9"/>
      <color indexed="81"/>
      <name val="Tahoma"/>
      <family val="2"/>
    </font>
    <font>
      <sz val="9"/>
      <name val="Arial"/>
      <family val="2"/>
    </font>
    <font>
      <b/>
      <sz val="9"/>
      <name val="Arial"/>
      <family val="2"/>
    </font>
    <font>
      <b/>
      <sz val="8"/>
      <name val="Arial"/>
      <family val="2"/>
    </font>
    <font>
      <b/>
      <sz val="10"/>
      <color indexed="10"/>
      <name val="Arial"/>
      <family val="2"/>
    </font>
    <font>
      <sz val="8"/>
      <color indexed="8"/>
      <name val="Arial"/>
      <family val="2"/>
    </font>
    <font>
      <b/>
      <sz val="10"/>
      <color rgb="FFFF0000"/>
      <name val="Arial"/>
      <family val="2"/>
    </font>
    <font>
      <sz val="10"/>
      <color rgb="FF00B0F0"/>
      <name val="Arial"/>
      <family val="2"/>
    </font>
    <font>
      <b/>
      <sz val="10"/>
      <color rgb="FF00B0F0"/>
      <name val="Arial"/>
      <family val="2"/>
    </font>
    <font>
      <b/>
      <sz val="10"/>
      <name val="Calibri"/>
      <family val="2"/>
    </font>
    <font>
      <sz val="8"/>
      <name val="Courier New"/>
      <family val="3"/>
    </font>
    <font>
      <b/>
      <sz val="12"/>
      <color rgb="FF002060"/>
      <name val="Courier New"/>
      <family val="3"/>
    </font>
    <font>
      <b/>
      <sz val="9"/>
      <name val="Calibri"/>
      <family val="2"/>
    </font>
    <font>
      <b/>
      <sz val="8"/>
      <color rgb="FFFF0000"/>
      <name val="Arial"/>
      <family val="2"/>
    </font>
    <font>
      <b/>
      <sz val="10"/>
      <color rgb="FF0070C0"/>
      <name val="Arial"/>
      <family val="2"/>
    </font>
    <font>
      <sz val="10"/>
      <name val="Calibri"/>
      <family val="2"/>
    </font>
    <font>
      <sz val="9"/>
      <color theme="0" tint="-0.249977111117893"/>
      <name val="Courier New"/>
      <family val="3"/>
    </font>
    <font>
      <sz val="14"/>
      <name val="Calibri"/>
      <family val="2"/>
    </font>
    <font>
      <sz val="9"/>
      <color indexed="81"/>
      <name val="Segoe UI"/>
      <family val="2"/>
    </font>
    <font>
      <b/>
      <sz val="10"/>
      <color rgb="FF0070C0"/>
      <name val="Calibri"/>
      <family val="2"/>
    </font>
    <font>
      <b/>
      <sz val="11"/>
      <color theme="1"/>
      <name val="Calibri"/>
      <family val="2"/>
      <scheme val="minor"/>
    </font>
    <font>
      <b/>
      <sz val="16"/>
      <color rgb="FF0070C0"/>
      <name val="Calibri"/>
      <family val="2"/>
      <scheme val="minor"/>
    </font>
    <font>
      <b/>
      <sz val="11"/>
      <color theme="1"/>
      <name val="Calibri"/>
      <family val="2"/>
    </font>
    <font>
      <b/>
      <sz val="9"/>
      <color rgb="FF070505"/>
      <name val="Arial"/>
      <family val="2"/>
    </font>
    <font>
      <b/>
      <sz val="9"/>
      <color theme="1"/>
      <name val="Calibri"/>
      <family val="2"/>
      <scheme val="minor"/>
    </font>
    <font>
      <sz val="7.5"/>
      <color rgb="FF070505"/>
      <name val="Arial"/>
      <family val="2"/>
    </font>
    <font>
      <b/>
      <sz val="10"/>
      <color rgb="FF080505"/>
      <name val="Arial"/>
      <family val="2"/>
    </font>
    <font>
      <sz val="7.5"/>
      <color rgb="FF413D3D"/>
      <name val="Arial"/>
      <family val="2"/>
    </font>
    <font>
      <sz val="7.5"/>
      <color rgb="FF2F2D2B"/>
      <name val="Arial"/>
      <family val="2"/>
    </font>
    <font>
      <b/>
      <sz val="8"/>
      <color rgb="FF070505"/>
      <name val="Arial"/>
      <family val="2"/>
    </font>
    <font>
      <sz val="7.5"/>
      <color rgb="FF1A1818"/>
      <name val="Arial"/>
      <family val="2"/>
    </font>
    <font>
      <sz val="10"/>
      <color rgb="FF262323"/>
      <name val="Arial"/>
      <family val="2"/>
    </font>
    <font>
      <sz val="7.5"/>
      <color rgb="FF080505"/>
      <name val="Arial"/>
      <family val="2"/>
    </font>
    <font>
      <sz val="7.5"/>
      <color rgb="FF423F3F"/>
      <name val="Arial"/>
      <family val="2"/>
    </font>
    <font>
      <sz val="10"/>
      <color rgb="FF080505"/>
      <name val="Arial"/>
      <family val="2"/>
    </font>
    <font>
      <b/>
      <sz val="10"/>
      <color rgb="FF262323"/>
      <name val="Arial"/>
      <family val="2"/>
    </font>
    <font>
      <b/>
      <sz val="10"/>
      <color rgb="FF1A1616"/>
      <name val="Arial"/>
      <family val="2"/>
    </font>
    <font>
      <sz val="7.5"/>
      <color rgb="FF1A1616"/>
      <name val="Arial"/>
      <family val="2"/>
    </font>
    <font>
      <b/>
      <sz val="11"/>
      <name val="Courier New"/>
      <family val="3"/>
    </font>
    <font>
      <b/>
      <sz val="10"/>
      <name val="Courier New"/>
      <family val="3"/>
    </font>
    <font>
      <b/>
      <sz val="14"/>
      <name val="Arial"/>
      <family val="2"/>
    </font>
    <font>
      <b/>
      <sz val="8"/>
      <color rgb="FF002060"/>
      <name val="Courier New"/>
      <family val="3"/>
    </font>
    <font>
      <sz val="7"/>
      <name val="Arial"/>
      <family val="2"/>
    </font>
  </fonts>
  <fills count="23">
    <fill>
      <patternFill patternType="none"/>
    </fill>
    <fill>
      <patternFill patternType="gray125"/>
    </fill>
    <fill>
      <patternFill patternType="solid">
        <fgColor indexed="22"/>
        <bgColor indexed="10"/>
      </patternFill>
    </fill>
    <fill>
      <patternFill patternType="solid">
        <fgColor indexed="22"/>
        <bgColor indexed="64"/>
      </patternFill>
    </fill>
    <fill>
      <patternFill patternType="solid">
        <fgColor indexed="9"/>
        <bgColor indexed="64"/>
      </patternFill>
    </fill>
    <fill>
      <patternFill patternType="solid">
        <fgColor indexed="46"/>
        <bgColor indexed="64"/>
      </patternFill>
    </fill>
    <fill>
      <patternFill patternType="solid">
        <fgColor indexed="14"/>
        <bgColor indexed="64"/>
      </patternFill>
    </fill>
    <fill>
      <patternFill patternType="solid">
        <fgColor indexed="43"/>
        <bgColor indexed="64"/>
      </patternFill>
    </fill>
    <fill>
      <patternFill patternType="solid">
        <fgColor indexed="55"/>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gradientFill type="path" left="0.5" right="0.5" top="0.5" bottom="0.5">
        <stop position="0">
          <color theme="0"/>
        </stop>
        <stop position="1">
          <color rgb="FFFFFF00"/>
        </stop>
      </gradientFill>
    </fill>
    <fill>
      <patternFill patternType="solid">
        <fgColor theme="0" tint="-4.9989318521683403E-2"/>
        <bgColor auto="1"/>
      </patternFill>
    </fill>
    <fill>
      <patternFill patternType="solid">
        <fgColor indexed="26"/>
        <bgColor indexed="64"/>
      </patternFill>
    </fill>
    <fill>
      <patternFill patternType="solid">
        <fgColor theme="5" tint="0.39997558519241921"/>
        <bgColor indexed="64"/>
      </patternFill>
    </fill>
    <fill>
      <patternFill patternType="solid">
        <fgColor rgb="FFC0C0C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dotted">
        <color auto="1"/>
      </right>
      <top/>
      <bottom/>
      <diagonal/>
    </border>
    <border>
      <left style="dotted">
        <color auto="1"/>
      </left>
      <right/>
      <top style="dotted">
        <color auto="1"/>
      </top>
      <bottom style="dotted">
        <color auto="1"/>
      </bottom>
      <diagonal/>
    </border>
    <border>
      <left/>
      <right/>
      <top style="dotted">
        <color auto="1"/>
      </top>
      <bottom/>
      <diagonal/>
    </border>
    <border>
      <left/>
      <right style="dotted">
        <color auto="1"/>
      </right>
      <top style="dotted">
        <color auto="1"/>
      </top>
      <bottom/>
      <diagonal/>
    </border>
    <border>
      <left/>
      <right/>
      <top style="dashDotDot">
        <color theme="1" tint="0.24994659260841701"/>
      </top>
      <bottom/>
      <diagonal/>
    </border>
    <border>
      <left/>
      <right style="dashDotDot">
        <color theme="1" tint="0.24994659260841701"/>
      </right>
      <top style="dashDotDot">
        <color theme="1" tint="0.24994659260841701"/>
      </top>
      <bottom/>
      <diagonal/>
    </border>
    <border>
      <left/>
      <right style="dashDotDot">
        <color theme="1" tint="0.24994659260841701"/>
      </right>
      <top/>
      <bottom/>
      <diagonal/>
    </border>
    <border>
      <left style="thin">
        <color indexed="64"/>
      </left>
      <right style="dashDotDot">
        <color theme="1" tint="0.24994659260841701"/>
      </right>
      <top style="thin">
        <color indexed="64"/>
      </top>
      <bottom style="thin">
        <color indexed="64"/>
      </bottom>
      <diagonal/>
    </border>
    <border>
      <left/>
      <right style="dashDotDot">
        <color theme="1" tint="0.24994659260841701"/>
      </right>
      <top style="thin">
        <color indexed="64"/>
      </top>
      <bottom style="thin">
        <color indexed="64"/>
      </bottom>
      <diagonal/>
    </border>
    <border>
      <left style="thin">
        <color indexed="64"/>
      </left>
      <right style="thin">
        <color indexed="64"/>
      </right>
      <top style="thin">
        <color indexed="64"/>
      </top>
      <bottom style="dashDotDot">
        <color theme="1" tint="0.24994659260841701"/>
      </bottom>
      <diagonal/>
    </border>
    <border>
      <left/>
      <right style="dashDotDot">
        <color theme="1" tint="0.24994659260841701"/>
      </right>
      <top/>
      <bottom style="dashDotDot">
        <color theme="1" tint="0.24994659260841701"/>
      </bottom>
      <diagonal/>
    </border>
    <border>
      <left/>
      <right style="dashDotDot">
        <color auto="1"/>
      </right>
      <top style="dashDotDot">
        <color auto="1"/>
      </top>
      <bottom/>
      <diagonal/>
    </border>
    <border>
      <left/>
      <right style="dashDotDot">
        <color auto="1"/>
      </right>
      <top/>
      <bottom style="thin">
        <color indexed="64"/>
      </bottom>
      <diagonal/>
    </border>
    <border>
      <left/>
      <right style="dashDotDot">
        <color auto="1"/>
      </right>
      <top/>
      <bottom/>
      <diagonal/>
    </border>
    <border>
      <left/>
      <right style="dashDotDot">
        <color auto="1"/>
      </right>
      <top/>
      <bottom style="dashDotDot">
        <color theme="1" tint="0.24994659260841701"/>
      </bottom>
      <diagonal/>
    </border>
    <border>
      <left/>
      <right style="dashDotDot">
        <color auto="1"/>
      </right>
      <top/>
      <bottom style="dashDotDot">
        <color auto="1"/>
      </bottom>
      <diagonal/>
    </border>
    <border>
      <left style="dashDotDot">
        <color theme="3" tint="0.39994506668294322"/>
      </left>
      <right/>
      <top style="dashDotDot">
        <color theme="3" tint="0.39994506668294322"/>
      </top>
      <bottom/>
      <diagonal/>
    </border>
    <border>
      <left style="thin">
        <color indexed="64"/>
      </left>
      <right style="dashDotDot">
        <color theme="3" tint="0.39994506668294322"/>
      </right>
      <top style="dashDotDot">
        <color theme="3" tint="0.39994506668294322"/>
      </top>
      <bottom style="thin">
        <color indexed="64"/>
      </bottom>
      <diagonal/>
    </border>
    <border>
      <left style="dashDotDot">
        <color theme="3" tint="0.39994506668294322"/>
      </left>
      <right/>
      <top/>
      <bottom/>
      <diagonal/>
    </border>
    <border>
      <left/>
      <right style="dashDotDot">
        <color theme="3" tint="0.39994506668294322"/>
      </right>
      <top/>
      <bottom/>
      <diagonal/>
    </border>
    <border>
      <left/>
      <right style="dashDotDot">
        <color theme="3" tint="0.39994506668294322"/>
      </right>
      <top style="thin">
        <color indexed="64"/>
      </top>
      <bottom style="thin">
        <color indexed="64"/>
      </bottom>
      <diagonal/>
    </border>
    <border>
      <left style="dashDotDot">
        <color theme="3" tint="0.39994506668294322"/>
      </left>
      <right style="thin">
        <color indexed="64"/>
      </right>
      <top style="thin">
        <color indexed="64"/>
      </top>
      <bottom style="dashDotDot">
        <color theme="3" tint="0.39994506668294322"/>
      </bottom>
      <diagonal/>
    </border>
    <border>
      <left/>
      <right style="dashDotDot">
        <color theme="3" tint="0.39994506668294322"/>
      </right>
      <top style="thin">
        <color indexed="64"/>
      </top>
      <bottom style="dashDotDot">
        <color theme="3" tint="0.39994506668294322"/>
      </bottom>
      <diagonal/>
    </border>
    <border>
      <left style="hair">
        <color rgb="FF002060"/>
      </left>
      <right style="hair">
        <color rgb="FF002060"/>
      </right>
      <top style="hair">
        <color rgb="FF002060"/>
      </top>
      <bottom/>
      <diagonal/>
    </border>
    <border>
      <left style="hair">
        <color rgb="FF002060"/>
      </left>
      <right style="hair">
        <color rgb="FF002060"/>
      </right>
      <top/>
      <bottom/>
      <diagonal/>
    </border>
    <border>
      <left style="hair">
        <color rgb="FF002060"/>
      </left>
      <right style="hair">
        <color rgb="FF002060"/>
      </right>
      <top style="thin">
        <color indexed="64"/>
      </top>
      <bottom style="double">
        <color indexed="64"/>
      </bottom>
      <diagonal/>
    </border>
    <border>
      <left style="hair">
        <color rgb="FF002060"/>
      </left>
      <right style="hair">
        <color rgb="FF002060"/>
      </right>
      <top style="thin">
        <color indexed="64"/>
      </top>
      <bottom style="hair">
        <color rgb="FF002060"/>
      </bottom>
      <diagonal/>
    </border>
    <border>
      <left style="dotted">
        <color rgb="FF002060"/>
      </left>
      <right style="dotted">
        <color rgb="FF002060"/>
      </right>
      <top style="dotted">
        <color rgb="FF002060"/>
      </top>
      <bottom/>
      <diagonal/>
    </border>
    <border>
      <left style="dotted">
        <color rgb="FF002060"/>
      </left>
      <right style="dotted">
        <color rgb="FF002060"/>
      </right>
      <top/>
      <bottom style="dotted">
        <color rgb="FF002060"/>
      </bottom>
      <diagonal/>
    </border>
    <border>
      <left style="hair">
        <color rgb="FF002060"/>
      </left>
      <right style="hair">
        <color rgb="FF002060"/>
      </right>
      <top style="thin">
        <color indexed="64"/>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double">
        <color rgb="FFFFFF00"/>
      </left>
      <right/>
      <top style="thin">
        <color indexed="64"/>
      </top>
      <bottom style="thin">
        <color indexed="64"/>
      </bottom>
      <diagonal/>
    </border>
    <border>
      <left style="double">
        <color rgb="FFFFFF00"/>
      </left>
      <right/>
      <top style="double">
        <color rgb="FFFFFF00"/>
      </top>
      <bottom style="double">
        <color rgb="FFFFFF00"/>
      </bottom>
      <diagonal/>
    </border>
    <border>
      <left/>
      <right/>
      <top/>
      <bottom style="thin">
        <color rgb="FF1F1C1F"/>
      </bottom>
      <diagonal/>
    </border>
    <border>
      <left/>
      <right/>
      <top/>
      <bottom style="medium">
        <color rgb="FF080303"/>
      </bottom>
      <diagonal/>
    </border>
    <border>
      <left/>
      <right/>
      <top/>
      <bottom style="thick">
        <color rgb="FFBFBFBC"/>
      </bottom>
      <diagonal/>
    </border>
    <border>
      <left/>
      <right/>
      <top/>
      <bottom style="medium">
        <color rgb="FFBFBFBC"/>
      </bottom>
      <diagonal/>
    </border>
    <border>
      <left/>
      <right/>
      <top/>
      <bottom style="medium">
        <color rgb="FFBFBCBC"/>
      </bottom>
      <diagonal/>
    </border>
    <border>
      <left/>
      <right/>
      <top style="medium">
        <color rgb="FFBFBCBC"/>
      </top>
      <bottom/>
      <diagonal/>
    </border>
    <border>
      <left/>
      <right/>
      <top/>
      <bottom style="thick">
        <color rgb="FFBFBCBC"/>
      </bottom>
      <diagonal/>
    </border>
    <border>
      <left style="mediumDashed">
        <color auto="1"/>
      </left>
      <right style="mediumDashed">
        <color auto="1"/>
      </right>
      <top style="mediumDashed">
        <color auto="1"/>
      </top>
      <bottom/>
      <diagonal/>
    </border>
    <border>
      <left style="mediumDashed">
        <color auto="1"/>
      </left>
      <right style="mediumDashed">
        <color auto="1"/>
      </right>
      <top/>
      <bottom style="mediumDashed">
        <color auto="1"/>
      </bottom>
      <diagonal/>
    </border>
    <border>
      <left style="thin">
        <color indexed="64"/>
      </left>
      <right style="medium">
        <color auto="1"/>
      </right>
      <top style="thin">
        <color indexed="64"/>
      </top>
      <bottom style="dashDotDot">
        <color indexed="64"/>
      </bottom>
      <diagonal/>
    </border>
    <border>
      <left style="medium">
        <color auto="1"/>
      </left>
      <right style="thin">
        <color indexed="64"/>
      </right>
      <top style="thin">
        <color indexed="64"/>
      </top>
      <bottom style="dashDotDot">
        <color indexed="64"/>
      </bottom>
      <diagonal/>
    </border>
    <border>
      <left style="thin">
        <color indexed="64"/>
      </left>
      <right/>
      <top style="dashDotDot">
        <color indexed="64"/>
      </top>
      <bottom style="thin">
        <color indexed="64"/>
      </bottom>
      <diagonal/>
    </border>
    <border>
      <left/>
      <right style="thin">
        <color indexed="64"/>
      </right>
      <top style="dashDotDot">
        <color indexed="64"/>
      </top>
      <bottom style="thin">
        <color indexed="64"/>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s>
  <cellStyleXfs count="5">
    <xf numFmtId="0" fontId="0" fillId="0" borderId="0" applyProtection="0"/>
    <xf numFmtId="167" fontId="1" fillId="0" borderId="0" applyFont="0" applyFill="0" applyBorder="0" applyAlignment="0" applyProtection="0"/>
    <xf numFmtId="0" fontId="4" fillId="0" borderId="0" applyNumberFormat="0" applyFill="0" applyBorder="0" applyAlignment="0" applyProtection="0">
      <alignment vertical="top"/>
      <protection locked="0"/>
    </xf>
    <xf numFmtId="164" fontId="1" fillId="0" borderId="0" applyFont="0" applyFill="0" applyBorder="0" applyAlignment="0" applyProtection="0"/>
    <xf numFmtId="0" fontId="16" fillId="2" borderId="1">
      <alignment horizontal="center" vertical="center" wrapText="1"/>
      <protection hidden="1"/>
    </xf>
  </cellStyleXfs>
  <cellXfs count="585">
    <xf numFmtId="0" fontId="0" fillId="0" borderId="0" xfId="0"/>
    <xf numFmtId="0" fontId="0" fillId="3" borderId="0" xfId="0" applyFill="1"/>
    <xf numFmtId="0" fontId="0" fillId="4" borderId="0" xfId="0" applyFill="1"/>
    <xf numFmtId="0" fontId="0" fillId="4" borderId="0" xfId="0" applyFill="1" applyBorder="1"/>
    <xf numFmtId="168" fontId="0" fillId="3" borderId="0" xfId="0" applyNumberFormat="1" applyFill="1"/>
    <xf numFmtId="0" fontId="0" fillId="3" borderId="0" xfId="0" applyFill="1" applyAlignment="1">
      <alignment horizontal="left" vertical="top"/>
    </xf>
    <xf numFmtId="168" fontId="11" fillId="3" borderId="0" xfId="0" applyNumberFormat="1" applyFont="1" applyFill="1" applyAlignment="1">
      <alignment horizontal="right"/>
    </xf>
    <xf numFmtId="0" fontId="11" fillId="3" borderId="0" xfId="0" applyFont="1" applyFill="1" applyAlignment="1">
      <alignment horizontal="right"/>
    </xf>
    <xf numFmtId="0" fontId="0" fillId="4" borderId="0" xfId="0" applyFill="1" applyBorder="1" applyAlignment="1"/>
    <xf numFmtId="0" fontId="0" fillId="0" borderId="2" xfId="0" applyBorder="1"/>
    <xf numFmtId="0" fontId="14" fillId="5" borderId="0" xfId="0" applyFont="1" applyFill="1" applyAlignment="1">
      <alignment horizontal="center"/>
    </xf>
    <xf numFmtId="0" fontId="0" fillId="5" borderId="0" xfId="0" applyFill="1"/>
    <xf numFmtId="0" fontId="0" fillId="5" borderId="0" xfId="0" applyFill="1" applyAlignment="1"/>
    <xf numFmtId="0" fontId="0" fillId="5" borderId="0" xfId="0" applyFill="1" applyBorder="1" applyAlignment="1">
      <alignment horizontal="right"/>
    </xf>
    <xf numFmtId="0" fontId="0" fillId="5" borderId="0" xfId="0" applyFill="1" applyAlignment="1">
      <alignment horizontal="left" vertical="top"/>
    </xf>
    <xf numFmtId="0" fontId="14" fillId="5" borderId="0" xfId="0" applyFont="1" applyFill="1"/>
    <xf numFmtId="0" fontId="5" fillId="5" borderId="0" xfId="0" applyFont="1" applyFill="1" applyAlignment="1">
      <alignment horizontal="center"/>
    </xf>
    <xf numFmtId="0" fontId="11" fillId="5" borderId="0" xfId="0" applyFont="1" applyFill="1" applyAlignment="1">
      <alignment horizontal="left"/>
    </xf>
    <xf numFmtId="0" fontId="14" fillId="5" borderId="0" xfId="0" applyFont="1" applyFill="1" applyProtection="1"/>
    <xf numFmtId="0" fontId="0" fillId="5" borderId="0" xfId="0" applyFill="1" applyBorder="1"/>
    <xf numFmtId="14" fontId="18" fillId="5" borderId="0" xfId="0" applyNumberFormat="1" applyFont="1" applyFill="1" applyBorder="1" applyAlignment="1">
      <alignment horizontal="center"/>
    </xf>
    <xf numFmtId="0" fontId="18" fillId="5" borderId="0" xfId="0" applyFont="1" applyFill="1" applyBorder="1"/>
    <xf numFmtId="0" fontId="0" fillId="5" borderId="0" xfId="0" applyFill="1" applyBorder="1" applyAlignment="1">
      <alignment horizontal="center"/>
    </xf>
    <xf numFmtId="0" fontId="18" fillId="5" borderId="0" xfId="0" applyFont="1" applyFill="1" applyBorder="1" applyProtection="1"/>
    <xf numFmtId="168" fontId="0" fillId="5" borderId="0" xfId="0" applyNumberFormat="1" applyFill="1"/>
    <xf numFmtId="0" fontId="4" fillId="5" borderId="0" xfId="2" applyFill="1" applyBorder="1" applyAlignment="1" applyProtection="1">
      <alignment horizontal="center"/>
    </xf>
    <xf numFmtId="0" fontId="2" fillId="5" borderId="0" xfId="0" applyFont="1" applyFill="1" applyBorder="1"/>
    <xf numFmtId="168" fontId="18" fillId="5" borderId="0" xfId="0" applyNumberFormat="1" applyFont="1" applyFill="1" applyBorder="1" applyAlignment="1" applyProtection="1">
      <alignment horizontal="right"/>
    </xf>
    <xf numFmtId="168" fontId="0" fillId="5" borderId="0" xfId="0" applyNumberFormat="1" applyFill="1" applyAlignment="1">
      <alignment horizontal="right"/>
    </xf>
    <xf numFmtId="0" fontId="2" fillId="5" borderId="0" xfId="0" applyFont="1" applyFill="1"/>
    <xf numFmtId="0" fontId="0" fillId="5" borderId="0" xfId="0" applyNumberFormat="1" applyFill="1"/>
    <xf numFmtId="166" fontId="12" fillId="5" borderId="0" xfId="0" applyNumberFormat="1" applyFont="1" applyFill="1"/>
    <xf numFmtId="168" fontId="11" fillId="5" borderId="0" xfId="0" applyNumberFormat="1" applyFont="1" applyFill="1" applyAlignment="1">
      <alignment horizontal="right"/>
    </xf>
    <xf numFmtId="0" fontId="12" fillId="5" borderId="0" xfId="0" applyFont="1" applyFill="1"/>
    <xf numFmtId="168" fontId="19" fillId="5" borderId="0" xfId="0" applyNumberFormat="1" applyFont="1" applyFill="1" applyAlignment="1" applyProtection="1">
      <alignment horizontal="right"/>
    </xf>
    <xf numFmtId="168" fontId="19" fillId="5" borderId="0" xfId="0" applyNumberFormat="1" applyFont="1" applyFill="1" applyAlignment="1">
      <alignment horizontal="right"/>
    </xf>
    <xf numFmtId="0" fontId="19" fillId="5" borderId="0" xfId="0" applyFont="1" applyFill="1" applyBorder="1"/>
    <xf numFmtId="0" fontId="19" fillId="5" borderId="0" xfId="0" applyFont="1" applyFill="1" applyAlignment="1" applyProtection="1">
      <alignment horizontal="right"/>
    </xf>
    <xf numFmtId="0" fontId="25" fillId="5" borderId="0" xfId="0" applyFont="1" applyFill="1" applyAlignment="1">
      <alignment horizontal="left"/>
    </xf>
    <xf numFmtId="0" fontId="6" fillId="5" borderId="0" xfId="0" applyFont="1" applyFill="1" applyBorder="1" applyAlignment="1"/>
    <xf numFmtId="0" fontId="3" fillId="5" borderId="0" xfId="0" applyFont="1" applyFill="1" applyAlignment="1">
      <alignment horizontal="center"/>
    </xf>
    <xf numFmtId="0" fontId="0" fillId="6" borderId="1" xfId="0" applyFill="1" applyBorder="1" applyAlignment="1">
      <alignment horizontal="center"/>
    </xf>
    <xf numFmtId="0" fontId="2" fillId="0" borderId="2" xfId="0" applyFont="1" applyBorder="1"/>
    <xf numFmtId="0" fontId="2" fillId="0" borderId="2" xfId="0" applyFont="1" applyBorder="1" applyAlignment="1">
      <alignment horizontal="left"/>
    </xf>
    <xf numFmtId="0" fontId="0" fillId="7" borderId="1" xfId="0" applyFill="1" applyBorder="1"/>
    <xf numFmtId="0" fontId="13" fillId="8" borderId="0" xfId="0" applyFont="1" applyFill="1" applyAlignment="1">
      <alignment horizontal="center"/>
    </xf>
    <xf numFmtId="0" fontId="19" fillId="6" borderId="1" xfId="0" applyFont="1" applyFill="1" applyBorder="1" applyAlignment="1">
      <alignment horizontal="left"/>
    </xf>
    <xf numFmtId="0" fontId="0" fillId="0" borderId="0" xfId="0" applyAlignment="1">
      <alignment horizontal="left" vertical="top"/>
    </xf>
    <xf numFmtId="0" fontId="0" fillId="6" borderId="0" xfId="0" applyFill="1"/>
    <xf numFmtId="0" fontId="0" fillId="6" borderId="0" xfId="0" applyFill="1" applyAlignment="1"/>
    <xf numFmtId="0" fontId="0" fillId="6" borderId="0" xfId="0" applyFill="1" applyAlignment="1">
      <alignment wrapText="1"/>
    </xf>
    <xf numFmtId="0" fontId="0" fillId="6" borderId="0" xfId="0" applyFill="1" applyAlignment="1">
      <alignment horizontal="left" vertical="top"/>
    </xf>
    <xf numFmtId="0" fontId="2" fillId="6" borderId="0" xfId="0" applyFont="1" applyFill="1" applyAlignment="1">
      <alignment horizontal="left" vertical="top"/>
    </xf>
    <xf numFmtId="0" fontId="0" fillId="6" borderId="0" xfId="0" quotePrefix="1" applyFill="1" applyAlignment="1">
      <alignment horizontal="left" vertical="top"/>
    </xf>
    <xf numFmtId="0" fontId="6" fillId="6" borderId="0" xfId="0" applyFont="1" applyFill="1"/>
    <xf numFmtId="0" fontId="26" fillId="0" borderId="0" xfId="0" applyFont="1"/>
    <xf numFmtId="0" fontId="21" fillId="4" borderId="0" xfId="0" applyFont="1" applyFill="1" applyAlignment="1" applyProtection="1">
      <alignment horizontal="centerContinuous"/>
    </xf>
    <xf numFmtId="164" fontId="21" fillId="4" borderId="0" xfId="3" applyFont="1" applyFill="1" applyAlignment="1" applyProtection="1">
      <alignment horizontal="centerContinuous"/>
    </xf>
    <xf numFmtId="0" fontId="0" fillId="4" borderId="0" xfId="0" applyFill="1" applyProtection="1"/>
    <xf numFmtId="0" fontId="0" fillId="4" borderId="0" xfId="0" applyFill="1" applyAlignment="1" applyProtection="1">
      <alignment horizontal="center"/>
    </xf>
    <xf numFmtId="164" fontId="0" fillId="4" borderId="0" xfId="3" applyFont="1" applyFill="1" applyProtection="1"/>
    <xf numFmtId="0" fontId="0" fillId="4" borderId="0" xfId="0" quotePrefix="1" applyFill="1"/>
    <xf numFmtId="0" fontId="3" fillId="4" borderId="0" xfId="0" applyFont="1" applyFill="1" applyProtection="1"/>
    <xf numFmtId="0" fontId="0" fillId="4" borderId="0" xfId="0" quotePrefix="1" applyFill="1" applyProtection="1"/>
    <xf numFmtId="0" fontId="3" fillId="4" borderId="0" xfId="0" applyFont="1" applyFill="1" applyBorder="1" applyProtection="1"/>
    <xf numFmtId="0" fontId="0" fillId="4" borderId="0" xfId="0" applyFill="1" applyBorder="1" applyProtection="1">
      <protection locked="0"/>
    </xf>
    <xf numFmtId="168" fontId="0" fillId="4" borderId="0" xfId="3" applyNumberFormat="1" applyFont="1" applyFill="1" applyProtection="1"/>
    <xf numFmtId="0" fontId="3" fillId="4" borderId="0" xfId="0" quotePrefix="1" applyFont="1" applyFill="1" applyAlignment="1" applyProtection="1">
      <alignment horizontal="right"/>
    </xf>
    <xf numFmtId="0" fontId="2" fillId="4" borderId="0" xfId="0" quotePrefix="1" applyFont="1" applyFill="1" applyAlignment="1" applyProtection="1">
      <alignment horizontal="right"/>
    </xf>
    <xf numFmtId="0" fontId="0" fillId="4" borderId="0" xfId="0" applyFill="1" applyBorder="1" applyProtection="1"/>
    <xf numFmtId="44" fontId="32" fillId="4" borderId="1" xfId="0" applyNumberFormat="1" applyFont="1" applyFill="1" applyBorder="1" applyAlignment="1" applyProtection="1">
      <alignment horizontal="left"/>
      <protection locked="0"/>
    </xf>
    <xf numFmtId="0" fontId="0" fillId="4" borderId="0" xfId="0" applyFill="1" applyAlignment="1" applyProtection="1">
      <alignment horizontal="right"/>
    </xf>
    <xf numFmtId="0" fontId="0" fillId="4" borderId="2" xfId="0" applyFill="1" applyBorder="1" applyProtection="1"/>
    <xf numFmtId="0" fontId="0" fillId="4" borderId="2" xfId="0" applyFill="1" applyBorder="1" applyAlignment="1" applyProtection="1">
      <alignment horizontal="center"/>
    </xf>
    <xf numFmtId="164" fontId="32" fillId="4" borderId="2" xfId="3" applyFont="1" applyFill="1" applyBorder="1" applyProtection="1"/>
    <xf numFmtId="0" fontId="0" fillId="4" borderId="0" xfId="0" applyFill="1" applyBorder="1" applyAlignment="1" applyProtection="1">
      <alignment horizontal="center"/>
    </xf>
    <xf numFmtId="0" fontId="10" fillId="4" borderId="0" xfId="0" applyFont="1" applyFill="1" applyBorder="1" applyProtection="1"/>
    <xf numFmtId="0" fontId="10" fillId="4" borderId="0" xfId="0" applyFont="1" applyFill="1" applyBorder="1" applyAlignment="1" applyProtection="1">
      <alignment horizontal="center"/>
    </xf>
    <xf numFmtId="0" fontId="2" fillId="4" borderId="0" xfId="0" applyFont="1" applyFill="1" applyBorder="1" applyProtection="1"/>
    <xf numFmtId="0" fontId="0" fillId="4" borderId="5" xfId="0" applyFill="1" applyBorder="1" applyProtection="1"/>
    <xf numFmtId="0" fontId="1" fillId="4" borderId="0" xfId="0" applyFont="1" applyFill="1" applyBorder="1" applyProtection="1"/>
    <xf numFmtId="0" fontId="1" fillId="4" borderId="0" xfId="0" applyFont="1" applyFill="1" applyBorder="1" applyAlignment="1" applyProtection="1">
      <alignment horizontal="center"/>
    </xf>
    <xf numFmtId="167" fontId="1" fillId="4" borderId="0" xfId="1" applyFont="1" applyFill="1" applyBorder="1" applyProtection="1"/>
    <xf numFmtId="0" fontId="3" fillId="4" borderId="0" xfId="0" applyFont="1" applyFill="1" applyBorder="1" applyAlignment="1" applyProtection="1">
      <alignment horizontal="left"/>
    </xf>
    <xf numFmtId="170" fontId="3" fillId="4" borderId="0" xfId="0" applyNumberFormat="1" applyFont="1" applyFill="1" applyBorder="1" applyAlignment="1"/>
    <xf numFmtId="10" fontId="1" fillId="4" borderId="0" xfId="0" applyNumberFormat="1" applyFont="1" applyFill="1" applyBorder="1" applyAlignment="1" applyProtection="1">
      <alignment horizontal="left"/>
    </xf>
    <xf numFmtId="0" fontId="10" fillId="4" borderId="2" xfId="0" applyFont="1" applyFill="1" applyBorder="1" applyProtection="1"/>
    <xf numFmtId="0" fontId="22" fillId="4" borderId="0" xfId="0" applyFont="1" applyFill="1" applyBorder="1" applyProtection="1"/>
    <xf numFmtId="0" fontId="22" fillId="4" borderId="0" xfId="0" applyFont="1" applyFill="1" applyBorder="1" applyAlignment="1" applyProtection="1">
      <alignment horizontal="center"/>
    </xf>
    <xf numFmtId="167" fontId="32" fillId="4" borderId="0" xfId="1" applyFont="1" applyFill="1" applyBorder="1" applyProtection="1"/>
    <xf numFmtId="0" fontId="19" fillId="4" borderId="0" xfId="0" applyFont="1" applyFill="1" applyProtection="1"/>
    <xf numFmtId="0" fontId="0" fillId="6" borderId="6" xfId="0" applyFill="1" applyBorder="1" applyAlignment="1">
      <alignment horizontal="center"/>
    </xf>
    <xf numFmtId="0" fontId="30" fillId="5" borderId="0" xfId="2" applyFont="1" applyFill="1" applyAlignment="1" applyProtection="1">
      <alignment horizontal="right" vertical="center"/>
    </xf>
    <xf numFmtId="0" fontId="2" fillId="5" borderId="7" xfId="0" applyFont="1" applyFill="1" applyBorder="1"/>
    <xf numFmtId="167" fontId="0" fillId="6" borderId="6" xfId="0" applyNumberFormat="1" applyFill="1" applyBorder="1" applyAlignment="1">
      <alignment horizontal="center"/>
    </xf>
    <xf numFmtId="167" fontId="7" fillId="6" borderId="6" xfId="0" applyNumberFormat="1" applyFont="1" applyFill="1" applyBorder="1" applyAlignment="1">
      <alignment horizontal="center"/>
    </xf>
    <xf numFmtId="0" fontId="0" fillId="6" borderId="9" xfId="0" applyFill="1" applyBorder="1" applyAlignment="1">
      <alignment horizontal="center"/>
    </xf>
    <xf numFmtId="0" fontId="35" fillId="4" borderId="0" xfId="0" applyFont="1" applyFill="1" applyAlignment="1" applyProtection="1">
      <alignment horizontal="right"/>
    </xf>
    <xf numFmtId="167" fontId="31" fillId="4" borderId="0" xfId="1" applyFont="1" applyFill="1" applyBorder="1" applyProtection="1"/>
    <xf numFmtId="0" fontId="3" fillId="6" borderId="0" xfId="0" applyFont="1" applyFill="1" applyAlignment="1">
      <alignment horizontal="left" vertical="top"/>
    </xf>
    <xf numFmtId="0" fontId="3" fillId="6" borderId="0" xfId="0" quotePrefix="1" applyFont="1" applyFill="1" applyAlignment="1">
      <alignment horizontal="left" vertical="top"/>
    </xf>
    <xf numFmtId="0" fontId="10" fillId="5" borderId="0" xfId="0" applyFont="1" applyFill="1" applyAlignment="1">
      <alignment horizontal="right"/>
    </xf>
    <xf numFmtId="0" fontId="4" fillId="5" borderId="0" xfId="2" applyFill="1" applyAlignment="1" applyProtection="1">
      <alignment horizontal="center" vertical="top"/>
    </xf>
    <xf numFmtId="0" fontId="0" fillId="5" borderId="0" xfId="0" applyFill="1" applyAlignment="1">
      <alignment horizontal="center"/>
    </xf>
    <xf numFmtId="0" fontId="30" fillId="5" borderId="0" xfId="2" applyFont="1" applyFill="1" applyAlignment="1" applyProtection="1">
      <alignment horizontal="left" vertical="center"/>
    </xf>
    <xf numFmtId="0" fontId="25" fillId="4" borderId="0" xfId="0" applyFont="1" applyFill="1" applyBorder="1" applyAlignment="1">
      <alignment horizontal="right"/>
    </xf>
    <xf numFmtId="0" fontId="0" fillId="4" borderId="0" xfId="0" applyFill="1" applyAlignment="1"/>
    <xf numFmtId="0" fontId="3" fillId="4" borderId="0" xfId="0" applyFont="1" applyFill="1" applyBorder="1" applyAlignment="1">
      <alignment horizontal="right"/>
    </xf>
    <xf numFmtId="0" fontId="8" fillId="4" borderId="0" xfId="0" applyFont="1" applyFill="1" applyAlignment="1"/>
    <xf numFmtId="0" fontId="0" fillId="4" borderId="0" xfId="0" applyFill="1" applyAlignment="1">
      <alignment horizontal="center"/>
    </xf>
    <xf numFmtId="0" fontId="0" fillId="4" borderId="0" xfId="0" applyFill="1" applyAlignment="1">
      <alignment horizontal="left" vertical="center"/>
    </xf>
    <xf numFmtId="0" fontId="10" fillId="4" borderId="0" xfId="0" applyFont="1" applyFill="1" applyBorder="1" applyAlignment="1">
      <alignment horizontal="right"/>
    </xf>
    <xf numFmtId="0" fontId="10" fillId="4" borderId="0" xfId="0" applyFont="1" applyFill="1" applyAlignment="1">
      <alignment horizontal="right"/>
    </xf>
    <xf numFmtId="0" fontId="3" fillId="4" borderId="0" xfId="0" applyFont="1" applyFill="1" applyBorder="1" applyAlignment="1" applyProtection="1">
      <alignment horizontal="right"/>
      <protection locked="0"/>
    </xf>
    <xf numFmtId="169" fontId="0" fillId="4" borderId="0" xfId="0" applyNumberFormat="1" applyFill="1" applyProtection="1"/>
    <xf numFmtId="0" fontId="36" fillId="4" borderId="0" xfId="0" applyFont="1" applyFill="1" applyBorder="1" applyProtection="1"/>
    <xf numFmtId="167" fontId="31" fillId="4" borderId="0" xfId="1" applyFont="1" applyFill="1" applyBorder="1" applyProtection="1">
      <protection locked="0"/>
    </xf>
    <xf numFmtId="0" fontId="10" fillId="4" borderId="5" xfId="0" applyFont="1" applyFill="1" applyBorder="1" applyAlignment="1" applyProtection="1">
      <alignment horizontal="center"/>
    </xf>
    <xf numFmtId="0" fontId="3" fillId="4" borderId="0" xfId="0" applyFont="1" applyFill="1" applyBorder="1"/>
    <xf numFmtId="0" fontId="2" fillId="4" borderId="0" xfId="0" applyFont="1" applyFill="1" applyBorder="1"/>
    <xf numFmtId="167" fontId="32" fillId="4" borderId="0" xfId="1" applyFont="1" applyFill="1" applyBorder="1" applyProtection="1">
      <protection locked="0"/>
    </xf>
    <xf numFmtId="167" fontId="0" fillId="4" borderId="0" xfId="0" applyNumberFormat="1" applyFill="1" applyBorder="1"/>
    <xf numFmtId="0" fontId="38" fillId="4" borderId="0" xfId="0" applyFont="1" applyFill="1" applyBorder="1" applyAlignment="1" applyProtection="1">
      <alignment horizontal="center" vertical="center"/>
    </xf>
    <xf numFmtId="0" fontId="38" fillId="4" borderId="0" xfId="0" applyFont="1" applyFill="1" applyBorder="1" applyAlignment="1">
      <alignment horizontal="center" vertical="center"/>
    </xf>
    <xf numFmtId="0" fontId="10" fillId="4" borderId="14" xfId="0" applyFont="1" applyFill="1" applyBorder="1"/>
    <xf numFmtId="0" fontId="0" fillId="4" borderId="15" xfId="0" applyFill="1" applyBorder="1"/>
    <xf numFmtId="0" fontId="0" fillId="4" borderId="16" xfId="0" applyFill="1" applyBorder="1"/>
    <xf numFmtId="0" fontId="10" fillId="4" borderId="15" xfId="0" applyFont="1" applyFill="1" applyBorder="1"/>
    <xf numFmtId="0" fontId="19" fillId="4" borderId="0" xfId="0" applyFont="1" applyFill="1" applyBorder="1" applyAlignment="1" applyProtection="1">
      <alignment horizontal="right"/>
    </xf>
    <xf numFmtId="0" fontId="19" fillId="4" borderId="0" xfId="0" applyFont="1" applyFill="1" applyBorder="1" applyProtection="1">
      <protection locked="0"/>
    </xf>
    <xf numFmtId="0" fontId="19" fillId="4" borderId="2" xfId="0" applyFont="1" applyFill="1" applyBorder="1" applyProtection="1"/>
    <xf numFmtId="0" fontId="19" fillId="4" borderId="5" xfId="0" applyFont="1" applyFill="1" applyBorder="1" applyAlignment="1" applyProtection="1">
      <alignment horizontal="center"/>
    </xf>
    <xf numFmtId="0" fontId="19" fillId="4" borderId="0" xfId="0" applyFont="1" applyFill="1" applyBorder="1" applyProtection="1"/>
    <xf numFmtId="0" fontId="19" fillId="4" borderId="1" xfId="0" applyFont="1" applyFill="1" applyBorder="1" applyAlignment="1" applyProtection="1">
      <alignment horizontal="center"/>
    </xf>
    <xf numFmtId="0" fontId="19" fillId="4" borderId="0" xfId="0" applyFont="1" applyFill="1" applyBorder="1" applyAlignment="1" applyProtection="1"/>
    <xf numFmtId="0" fontId="10" fillId="4" borderId="17" xfId="0" applyFont="1" applyFill="1" applyBorder="1"/>
    <xf numFmtId="0" fontId="10" fillId="4" borderId="18" xfId="0" applyFont="1" applyFill="1" applyBorder="1"/>
    <xf numFmtId="0" fontId="19" fillId="4" borderId="0" xfId="0" applyFont="1" applyFill="1" applyAlignment="1" applyProtection="1">
      <alignment horizontal="right"/>
    </xf>
    <xf numFmtId="0" fontId="19" fillId="7" borderId="1" xfId="0" applyFont="1" applyFill="1" applyBorder="1" applyProtection="1"/>
    <xf numFmtId="0" fontId="3" fillId="5" borderId="0" xfId="0" applyFont="1" applyFill="1"/>
    <xf numFmtId="0" fontId="3" fillId="5" borderId="19" xfId="0" applyFont="1" applyFill="1" applyBorder="1"/>
    <xf numFmtId="0" fontId="10" fillId="9" borderId="0" xfId="0" applyFont="1" applyFill="1"/>
    <xf numFmtId="0" fontId="0" fillId="9" borderId="0" xfId="0" applyFill="1"/>
    <xf numFmtId="0" fontId="3" fillId="4" borderId="0" xfId="0" quotePrefix="1" applyFont="1" applyFill="1"/>
    <xf numFmtId="169" fontId="10" fillId="4" borderId="0" xfId="0" applyNumberFormat="1" applyFont="1" applyFill="1" applyBorder="1" applyAlignment="1">
      <alignment horizontal="right"/>
    </xf>
    <xf numFmtId="169" fontId="10" fillId="4" borderId="20" xfId="0" applyNumberFormat="1" applyFont="1" applyFill="1" applyBorder="1" applyAlignment="1">
      <alignment horizontal="right"/>
    </xf>
    <xf numFmtId="169" fontId="10" fillId="4" borderId="2" xfId="0" applyNumberFormat="1" applyFont="1" applyFill="1" applyBorder="1" applyAlignment="1">
      <alignment horizontal="right"/>
    </xf>
    <xf numFmtId="169" fontId="10" fillId="4" borderId="21" xfId="0" applyNumberFormat="1" applyFont="1" applyFill="1" applyBorder="1" applyAlignment="1">
      <alignment horizontal="right"/>
    </xf>
    <xf numFmtId="0" fontId="10" fillId="4" borderId="2" xfId="0" applyFont="1" applyFill="1" applyBorder="1" applyAlignment="1">
      <alignment horizontal="right"/>
    </xf>
    <xf numFmtId="0" fontId="3" fillId="6" borderId="0" xfId="0" quotePrefix="1" applyFont="1" applyFill="1"/>
    <xf numFmtId="0" fontId="0" fillId="6" borderId="6" xfId="0" applyFill="1" applyBorder="1" applyAlignment="1">
      <alignment horizontal="left"/>
    </xf>
    <xf numFmtId="0" fontId="0" fillId="6" borderId="9" xfId="0" applyFill="1" applyBorder="1" applyAlignment="1">
      <alignment horizontal="left"/>
    </xf>
    <xf numFmtId="0" fontId="0" fillId="6" borderId="23" xfId="0" applyFill="1" applyBorder="1" applyAlignment="1">
      <alignment horizontal="left"/>
    </xf>
    <xf numFmtId="0" fontId="2" fillId="5" borderId="24" xfId="0" applyFont="1" applyFill="1" applyBorder="1" applyAlignment="1">
      <alignment vertical="center"/>
    </xf>
    <xf numFmtId="0" fontId="19" fillId="7" borderId="0" xfId="0" applyFont="1" applyFill="1" applyBorder="1" applyProtection="1"/>
    <xf numFmtId="0" fontId="3" fillId="7" borderId="0" xfId="0" applyFont="1" applyFill="1" applyBorder="1" applyProtection="1"/>
    <xf numFmtId="0" fontId="19" fillId="7" borderId="2" xfId="0" applyFont="1" applyFill="1" applyBorder="1" applyProtection="1"/>
    <xf numFmtId="0" fontId="1" fillId="7" borderId="0" xfId="0" applyFont="1" applyFill="1" applyBorder="1" applyProtection="1"/>
    <xf numFmtId="0" fontId="1" fillId="7" borderId="0" xfId="0" applyFont="1" applyFill="1" applyBorder="1" applyAlignment="1" applyProtection="1">
      <alignment horizontal="center"/>
    </xf>
    <xf numFmtId="0" fontId="2" fillId="6" borderId="0" xfId="0" quotePrefix="1" applyFont="1" applyFill="1" applyAlignment="1">
      <alignment horizontal="left" vertical="top"/>
    </xf>
    <xf numFmtId="169" fontId="10" fillId="5" borderId="0" xfId="0" applyNumberFormat="1" applyFont="1" applyFill="1" applyProtection="1"/>
    <xf numFmtId="169" fontId="10" fillId="5" borderId="2" xfId="0" applyNumberFormat="1" applyFont="1" applyFill="1" applyBorder="1" applyProtection="1"/>
    <xf numFmtId="0" fontId="10" fillId="5" borderId="0" xfId="0" applyFont="1" applyFill="1" applyProtection="1"/>
    <xf numFmtId="0" fontId="10" fillId="5" borderId="2" xfId="0" applyFont="1" applyFill="1" applyBorder="1" applyProtection="1"/>
    <xf numFmtId="0" fontId="10" fillId="4" borderId="1" xfId="0" applyFont="1" applyFill="1" applyBorder="1" applyAlignment="1" applyProtection="1">
      <alignment horizontal="center"/>
    </xf>
    <xf numFmtId="0" fontId="19" fillId="7" borderId="0" xfId="0" applyFont="1" applyFill="1" applyProtection="1"/>
    <xf numFmtId="0" fontId="36" fillId="7" borderId="0" xfId="0" applyFont="1" applyFill="1" applyBorder="1" applyProtection="1"/>
    <xf numFmtId="0" fontId="19" fillId="7" borderId="0" xfId="0" applyFont="1" applyFill="1" applyBorder="1"/>
    <xf numFmtId="0" fontId="19" fillId="7" borderId="0" xfId="0" applyFont="1" applyFill="1"/>
    <xf numFmtId="167" fontId="31" fillId="7" borderId="0" xfId="1" applyFont="1" applyFill="1" applyBorder="1" applyProtection="1"/>
    <xf numFmtId="0" fontId="0" fillId="7" borderId="0" xfId="0" applyFill="1" applyAlignment="1"/>
    <xf numFmtId="1" fontId="19" fillId="4" borderId="0" xfId="0" applyNumberFormat="1" applyFont="1" applyFill="1" applyBorder="1" applyAlignment="1" applyProtection="1">
      <alignment horizontal="right"/>
    </xf>
    <xf numFmtId="169" fontId="0" fillId="4" borderId="17" xfId="3" applyNumberFormat="1" applyFont="1" applyFill="1" applyBorder="1" applyProtection="1">
      <protection locked="0"/>
    </xf>
    <xf numFmtId="169" fontId="0" fillId="4" borderId="17" xfId="0" applyNumberFormat="1" applyFill="1" applyBorder="1" applyProtection="1"/>
    <xf numFmtId="0" fontId="36" fillId="5" borderId="2" xfId="0" applyFont="1" applyFill="1" applyBorder="1" applyProtection="1"/>
    <xf numFmtId="0" fontId="2" fillId="5" borderId="2" xfId="0" applyFont="1" applyFill="1" applyBorder="1" applyProtection="1"/>
    <xf numFmtId="0" fontId="2" fillId="5" borderId="2" xfId="0" applyFont="1" applyFill="1" applyBorder="1" applyAlignment="1" applyProtection="1">
      <alignment horizontal="center"/>
    </xf>
    <xf numFmtId="169" fontId="0" fillId="4" borderId="0" xfId="0" applyNumberFormat="1" applyFill="1" applyBorder="1" applyProtection="1"/>
    <xf numFmtId="0" fontId="39" fillId="0" borderId="0" xfId="0" applyFont="1" applyAlignment="1">
      <alignment horizontal="left" readingOrder="1"/>
    </xf>
    <xf numFmtId="0" fontId="0" fillId="4" borderId="25" xfId="0" applyFill="1" applyBorder="1" applyProtection="1"/>
    <xf numFmtId="0" fontId="19" fillId="4" borderId="5" xfId="0" applyFont="1" applyFill="1" applyBorder="1" applyProtection="1"/>
    <xf numFmtId="164" fontId="32" fillId="4" borderId="26" xfId="3" applyFont="1" applyFill="1" applyBorder="1" applyProtection="1"/>
    <xf numFmtId="0" fontId="0" fillId="4" borderId="17" xfId="0" applyFill="1" applyBorder="1" applyProtection="1"/>
    <xf numFmtId="167" fontId="32" fillId="7" borderId="20" xfId="1" applyFont="1" applyFill="1" applyBorder="1" applyProtection="1">
      <protection locked="0"/>
    </xf>
    <xf numFmtId="167" fontId="32" fillId="4" borderId="20" xfId="1" applyFont="1" applyFill="1" applyBorder="1" applyProtection="1">
      <protection locked="0"/>
    </xf>
    <xf numFmtId="0" fontId="0" fillId="5" borderId="18" xfId="0" applyFill="1" applyBorder="1" applyProtection="1"/>
    <xf numFmtId="167" fontId="31" fillId="5" borderId="21" xfId="1" applyFont="1" applyFill="1" applyBorder="1" applyProtection="1">
      <protection locked="0"/>
    </xf>
    <xf numFmtId="0" fontId="0" fillId="4" borderId="5" xfId="0" applyFill="1" applyBorder="1" applyAlignment="1" applyProtection="1">
      <alignment horizontal="center"/>
    </xf>
    <xf numFmtId="0" fontId="23" fillId="5" borderId="2" xfId="0" applyFont="1" applyFill="1" applyBorder="1" applyProtection="1"/>
    <xf numFmtId="0" fontId="1" fillId="4" borderId="5" xfId="0" applyFont="1" applyFill="1" applyBorder="1" applyProtection="1"/>
    <xf numFmtId="0" fontId="1" fillId="4" borderId="5" xfId="0" applyFont="1" applyFill="1" applyBorder="1" applyAlignment="1" applyProtection="1">
      <alignment horizontal="center"/>
    </xf>
    <xf numFmtId="0" fontId="0" fillId="4" borderId="0" xfId="0" applyFill="1" applyAlignment="1" applyProtection="1"/>
    <xf numFmtId="0" fontId="0" fillId="0" borderId="0" xfId="0" applyFill="1"/>
    <xf numFmtId="0" fontId="10" fillId="0" borderId="0" xfId="0" applyFont="1" applyFill="1"/>
    <xf numFmtId="169" fontId="10" fillId="0" borderId="0" xfId="0" applyNumberFormat="1" applyFont="1" applyFill="1" applyProtection="1"/>
    <xf numFmtId="169" fontId="10" fillId="0" borderId="0" xfId="0" applyNumberFormat="1" applyFont="1" applyFill="1"/>
    <xf numFmtId="0" fontId="3" fillId="6" borderId="0" xfId="0" applyFont="1" applyFill="1"/>
    <xf numFmtId="0" fontId="32" fillId="7" borderId="13" xfId="3" applyNumberFormat="1" applyFont="1" applyFill="1" applyBorder="1" applyAlignment="1" applyProtection="1">
      <alignment horizontal="center"/>
      <protection locked="0"/>
    </xf>
    <xf numFmtId="164" fontId="10" fillId="4" borderId="0" xfId="3" applyFont="1" applyFill="1" applyAlignment="1" applyProtection="1">
      <alignment horizontal="right"/>
    </xf>
    <xf numFmtId="170" fontId="19" fillId="4" borderId="0" xfId="0" applyNumberFormat="1" applyFont="1" applyFill="1" applyBorder="1" applyAlignment="1"/>
    <xf numFmtId="10" fontId="19" fillId="4" borderId="0" xfId="0" applyNumberFormat="1" applyFont="1" applyFill="1" applyBorder="1" applyAlignment="1" applyProtection="1">
      <alignment horizontal="left"/>
    </xf>
    <xf numFmtId="0" fontId="19" fillId="4" borderId="0" xfId="0" applyFont="1" applyFill="1" applyBorder="1" applyAlignment="1" applyProtection="1">
      <alignment horizontal="center"/>
    </xf>
    <xf numFmtId="0" fontId="19" fillId="4" borderId="0" xfId="0" applyFont="1" applyFill="1" applyBorder="1" applyAlignment="1" applyProtection="1">
      <alignment horizontal="left"/>
    </xf>
    <xf numFmtId="0" fontId="3" fillId="4" borderId="0" xfId="0" quotePrefix="1" applyFont="1" applyFill="1" applyBorder="1" applyAlignment="1" applyProtection="1">
      <alignment horizontal="center"/>
    </xf>
    <xf numFmtId="0" fontId="19" fillId="4" borderId="0" xfId="0" applyFont="1" applyFill="1" applyBorder="1" applyAlignment="1" applyProtection="1">
      <alignment horizontal="right" vertical="center"/>
      <protection locked="0"/>
    </xf>
    <xf numFmtId="0" fontId="6" fillId="5" borderId="25" xfId="0" applyFont="1" applyFill="1" applyBorder="1" applyAlignment="1"/>
    <xf numFmtId="0" fontId="0" fillId="5" borderId="5" xfId="0" applyFill="1" applyBorder="1" applyAlignment="1"/>
    <xf numFmtId="0" fontId="0" fillId="5" borderId="26" xfId="0" applyFill="1" applyBorder="1" applyAlignment="1"/>
    <xf numFmtId="0" fontId="6" fillId="5" borderId="18" xfId="0" applyFont="1" applyFill="1" applyBorder="1" applyAlignment="1"/>
    <xf numFmtId="0" fontId="0" fillId="5" borderId="2" xfId="0" applyFill="1" applyBorder="1" applyAlignment="1"/>
    <xf numFmtId="0" fontId="0" fillId="5" borderId="21" xfId="0" applyFill="1" applyBorder="1" applyAlignment="1"/>
    <xf numFmtId="0" fontId="40" fillId="5" borderId="0" xfId="0" applyFont="1" applyFill="1"/>
    <xf numFmtId="0" fontId="19" fillId="11" borderId="0" xfId="0" applyFont="1" applyFill="1" applyBorder="1" applyProtection="1">
      <protection locked="0"/>
    </xf>
    <xf numFmtId="0" fontId="2" fillId="12" borderId="0" xfId="0" applyFont="1" applyFill="1" applyAlignment="1">
      <alignment horizontal="left" vertical="top"/>
    </xf>
    <xf numFmtId="0" fontId="19" fillId="4" borderId="0" xfId="0" applyFont="1" applyFill="1" applyAlignment="1" applyProtection="1">
      <alignment horizontal="left"/>
    </xf>
    <xf numFmtId="167" fontId="32" fillId="13" borderId="20" xfId="1" applyFont="1" applyFill="1" applyBorder="1" applyProtection="1">
      <protection locked="0"/>
    </xf>
    <xf numFmtId="167" fontId="31" fillId="13" borderId="20" xfId="1" applyFont="1" applyFill="1" applyBorder="1" applyProtection="1">
      <protection locked="0"/>
    </xf>
    <xf numFmtId="0" fontId="3" fillId="0" borderId="0" xfId="0" applyFont="1"/>
    <xf numFmtId="7" fontId="10" fillId="13" borderId="27" xfId="0" applyNumberFormat="1" applyFont="1" applyFill="1" applyBorder="1"/>
    <xf numFmtId="7" fontId="10" fillId="13" borderId="28" xfId="0" applyNumberFormat="1" applyFont="1" applyFill="1" applyBorder="1"/>
    <xf numFmtId="0" fontId="1" fillId="5" borderId="0" xfId="0" applyFont="1" applyFill="1" applyAlignment="1">
      <alignment horizontal="left" vertical="top"/>
    </xf>
    <xf numFmtId="44" fontId="0" fillId="5" borderId="0" xfId="0" applyNumberFormat="1" applyFill="1" applyAlignment="1">
      <alignment horizontal="left"/>
    </xf>
    <xf numFmtId="0" fontId="1" fillId="0" borderId="0" xfId="0" applyFont="1"/>
    <xf numFmtId="0" fontId="1" fillId="4" borderId="0" xfId="0" applyFont="1" applyFill="1" applyAlignment="1" applyProtection="1">
      <alignment horizontal="right"/>
    </xf>
    <xf numFmtId="169" fontId="0" fillId="13" borderId="0" xfId="0" applyNumberFormat="1" applyFill="1" applyProtection="1"/>
    <xf numFmtId="7" fontId="10" fillId="13" borderId="0" xfId="0" applyNumberFormat="1" applyFont="1" applyFill="1" applyBorder="1"/>
    <xf numFmtId="169" fontId="41" fillId="4" borderId="0" xfId="0" applyNumberFormat="1" applyFont="1" applyFill="1" applyProtection="1"/>
    <xf numFmtId="0" fontId="0" fillId="15" borderId="0" xfId="0" applyFill="1" applyBorder="1"/>
    <xf numFmtId="0" fontId="0" fillId="15" borderId="0" xfId="0" quotePrefix="1" applyFill="1"/>
    <xf numFmtId="0" fontId="0" fillId="15" borderId="0" xfId="0" applyFill="1"/>
    <xf numFmtId="0" fontId="0" fillId="15" borderId="0" xfId="0" applyFill="1" applyProtection="1"/>
    <xf numFmtId="0" fontId="10" fillId="5" borderId="0" xfId="0" applyFont="1" applyFill="1" applyAlignment="1">
      <alignment vertical="center" wrapText="1"/>
    </xf>
    <xf numFmtId="0" fontId="29" fillId="14" borderId="1" xfId="0" applyFont="1" applyFill="1" applyBorder="1" applyAlignment="1">
      <alignment horizontal="left"/>
    </xf>
    <xf numFmtId="0" fontId="10" fillId="5" borderId="0" xfId="0" applyFont="1" applyFill="1" applyAlignment="1">
      <alignment horizontal="right" vertical="center" wrapText="1"/>
    </xf>
    <xf numFmtId="14" fontId="10" fillId="5" borderId="0" xfId="0" applyNumberFormat="1" applyFont="1" applyFill="1" applyBorder="1" applyAlignment="1">
      <alignment vertical="center"/>
    </xf>
    <xf numFmtId="0" fontId="4" fillId="5" borderId="0" xfId="2" applyFill="1" applyAlignment="1" applyProtection="1">
      <alignment horizontal="left" vertical="center"/>
    </xf>
    <xf numFmtId="168" fontId="0" fillId="14" borderId="3" xfId="0" applyNumberFormat="1" applyFill="1" applyBorder="1" applyProtection="1">
      <protection locked="0"/>
    </xf>
    <xf numFmtId="2" fontId="0" fillId="14" borderId="12" xfId="0" applyNumberFormat="1" applyFill="1" applyBorder="1" applyProtection="1">
      <protection locked="0"/>
    </xf>
    <xf numFmtId="0" fontId="0" fillId="14" borderId="1" xfId="0" applyFill="1" applyBorder="1" applyAlignment="1" applyProtection="1">
      <alignment horizontal="center"/>
      <protection locked="0"/>
    </xf>
    <xf numFmtId="1" fontId="32" fillId="7" borderId="1" xfId="3" applyNumberFormat="1" applyFont="1" applyFill="1" applyBorder="1" applyAlignment="1" applyProtection="1">
      <alignment horizontal="center"/>
      <protection locked="0"/>
    </xf>
    <xf numFmtId="169" fontId="0" fillId="7" borderId="1" xfId="0" applyNumberFormat="1" applyFill="1" applyBorder="1" applyProtection="1">
      <protection locked="0"/>
    </xf>
    <xf numFmtId="170" fontId="32" fillId="7" borderId="1" xfId="0" applyNumberFormat="1" applyFont="1" applyFill="1" applyBorder="1" applyAlignment="1" applyProtection="1">
      <alignment horizontal="center"/>
      <protection locked="0"/>
    </xf>
    <xf numFmtId="169" fontId="32" fillId="7" borderId="1" xfId="0" applyNumberFormat="1" applyFont="1" applyFill="1" applyBorder="1" applyAlignment="1" applyProtection="1">
      <alignment horizontal="center"/>
      <protection locked="0"/>
    </xf>
    <xf numFmtId="170" fontId="32" fillId="7" borderId="4" xfId="0" applyNumberFormat="1" applyFont="1" applyFill="1" applyBorder="1" applyAlignment="1" applyProtection="1">
      <alignment horizontal="center"/>
      <protection locked="0"/>
    </xf>
    <xf numFmtId="169" fontId="32" fillId="7" borderId="4" xfId="0" applyNumberFormat="1" applyFont="1" applyFill="1" applyBorder="1" applyAlignment="1" applyProtection="1">
      <alignment horizontal="center"/>
      <protection locked="0"/>
    </xf>
    <xf numFmtId="14" fontId="27" fillId="6" borderId="0" xfId="0" applyNumberFormat="1" applyFont="1" applyFill="1" applyAlignment="1" applyProtection="1">
      <alignment horizontal="center"/>
      <protection locked="0"/>
    </xf>
    <xf numFmtId="7" fontId="10" fillId="4" borderId="0" xfId="0" applyNumberFormat="1" applyFont="1" applyFill="1" applyProtection="1">
      <protection locked="0"/>
    </xf>
    <xf numFmtId="174" fontId="10" fillId="4" borderId="0" xfId="3" applyNumberFormat="1" applyFont="1" applyFill="1" applyProtection="1">
      <protection locked="0"/>
    </xf>
    <xf numFmtId="0" fontId="10" fillId="4" borderId="0" xfId="0" applyFont="1" applyFill="1" applyProtection="1">
      <protection locked="0"/>
    </xf>
    <xf numFmtId="169" fontId="10" fillId="4" borderId="0" xfId="0" applyNumberFormat="1" applyFont="1" applyFill="1" applyProtection="1">
      <protection locked="0"/>
    </xf>
    <xf numFmtId="169" fontId="10" fillId="4" borderId="2" xfId="0" applyNumberFormat="1" applyFont="1" applyFill="1" applyBorder="1" applyProtection="1">
      <protection locked="0"/>
    </xf>
    <xf numFmtId="169" fontId="10" fillId="4" borderId="0" xfId="0" applyNumberFormat="1" applyFont="1" applyFill="1" applyBorder="1" applyProtection="1">
      <protection locked="0"/>
    </xf>
    <xf numFmtId="7" fontId="10" fillId="13" borderId="29" xfId="0" applyNumberFormat="1" applyFont="1" applyFill="1" applyBorder="1"/>
    <xf numFmtId="7" fontId="10" fillId="13" borderId="30" xfId="0" applyNumberFormat="1" applyFont="1" applyFill="1" applyBorder="1"/>
    <xf numFmtId="0" fontId="0" fillId="14" borderId="1" xfId="0" applyFill="1" applyBorder="1" applyProtection="1">
      <protection locked="0"/>
    </xf>
    <xf numFmtId="164" fontId="32" fillId="4" borderId="26" xfId="3" applyFont="1" applyFill="1" applyBorder="1" applyProtection="1">
      <protection locked="0"/>
    </xf>
    <xf numFmtId="164" fontId="32" fillId="4" borderId="20" xfId="3" applyFont="1" applyFill="1" applyBorder="1" applyProtection="1">
      <protection locked="0"/>
    </xf>
    <xf numFmtId="167" fontId="31" fillId="4" borderId="1" xfId="1" applyFont="1" applyFill="1" applyBorder="1" applyProtection="1">
      <protection locked="0"/>
    </xf>
    <xf numFmtId="0" fontId="4" fillId="4" borderId="0" xfId="2" applyFill="1" applyAlignment="1" applyProtection="1">
      <protection locked="0"/>
    </xf>
    <xf numFmtId="0" fontId="0" fillId="4" borderId="0" xfId="0" applyFill="1" applyAlignment="1" applyProtection="1">
      <alignment horizontal="left"/>
    </xf>
    <xf numFmtId="169" fontId="42" fillId="7" borderId="1" xfId="0" applyNumberFormat="1" applyFont="1" applyFill="1" applyBorder="1" applyProtection="1">
      <protection locked="0"/>
    </xf>
    <xf numFmtId="169" fontId="42" fillId="17" borderId="1" xfId="0" applyNumberFormat="1" applyFont="1" applyFill="1" applyBorder="1" applyProtection="1">
      <protection locked="0"/>
    </xf>
    <xf numFmtId="0" fontId="1" fillId="4" borderId="0" xfId="0" applyFont="1" applyFill="1" applyProtection="1"/>
    <xf numFmtId="0" fontId="2" fillId="17" borderId="2" xfId="0" applyFont="1" applyFill="1" applyBorder="1" applyAlignment="1" applyProtection="1">
      <alignment horizontal="center" vertical="center"/>
    </xf>
    <xf numFmtId="0" fontId="10" fillId="4" borderId="0" xfId="0" applyFont="1" applyFill="1" applyAlignment="1" applyProtection="1">
      <alignment horizontal="right"/>
    </xf>
    <xf numFmtId="0" fontId="10" fillId="4" borderId="0" xfId="0" applyFont="1" applyFill="1" applyBorder="1" applyAlignment="1" applyProtection="1">
      <alignment horizontal="right"/>
    </xf>
    <xf numFmtId="0" fontId="10" fillId="4" borderId="0" xfId="0" applyFont="1" applyFill="1" applyBorder="1" applyAlignment="1" applyProtection="1">
      <alignment horizontal="right" vertical="top"/>
    </xf>
    <xf numFmtId="0" fontId="44" fillId="17" borderId="0" xfId="0" applyFont="1" applyFill="1" applyBorder="1" applyProtection="1">
      <protection locked="0"/>
    </xf>
    <xf numFmtId="14" fontId="31" fillId="17" borderId="0" xfId="0" applyNumberFormat="1" applyFont="1" applyFill="1" applyBorder="1" applyAlignment="1" applyProtection="1">
      <alignment horizontal="left" vertical="top"/>
      <protection locked="0"/>
    </xf>
    <xf numFmtId="0" fontId="19" fillId="17" borderId="0" xfId="0" applyFont="1" applyFill="1" applyBorder="1" applyProtection="1">
      <protection locked="0"/>
    </xf>
    <xf numFmtId="0" fontId="10" fillId="17" borderId="0" xfId="0" applyFont="1" applyFill="1" applyBorder="1" applyProtection="1">
      <protection locked="0"/>
    </xf>
    <xf numFmtId="0" fontId="32" fillId="17" borderId="1" xfId="0" applyFont="1" applyFill="1" applyBorder="1" applyAlignment="1" applyProtection="1">
      <alignment horizontal="center"/>
      <protection locked="0"/>
    </xf>
    <xf numFmtId="0" fontId="32" fillId="17" borderId="4" xfId="0" applyFont="1" applyFill="1" applyBorder="1" applyAlignment="1" applyProtection="1">
      <alignment horizontal="center"/>
      <protection locked="0"/>
    </xf>
    <xf numFmtId="172" fontId="32" fillId="17" borderId="1" xfId="0" applyNumberFormat="1" applyFont="1" applyFill="1" applyBorder="1" applyAlignment="1" applyProtection="1">
      <alignment horizontal="center"/>
      <protection locked="0"/>
    </xf>
    <xf numFmtId="10" fontId="32" fillId="17" borderId="1" xfId="0" applyNumberFormat="1" applyFont="1" applyFill="1" applyBorder="1" applyAlignment="1" applyProtection="1">
      <alignment horizontal="center"/>
      <protection locked="0"/>
    </xf>
    <xf numFmtId="171" fontId="32" fillId="17" borderId="1" xfId="0" applyNumberFormat="1" applyFont="1" applyFill="1" applyBorder="1" applyAlignment="1" applyProtection="1">
      <alignment horizontal="right"/>
      <protection locked="0"/>
    </xf>
    <xf numFmtId="168" fontId="32" fillId="17" borderId="1" xfId="3" applyNumberFormat="1" applyFont="1" applyFill="1" applyBorder="1" applyAlignment="1" applyProtection="1">
      <alignment horizontal="center"/>
    </xf>
    <xf numFmtId="0" fontId="3" fillId="6" borderId="11" xfId="0" applyFont="1" applyFill="1" applyBorder="1" applyAlignment="1">
      <alignment horizontal="right"/>
    </xf>
    <xf numFmtId="0" fontId="32" fillId="17" borderId="1" xfId="3" applyNumberFormat="1" applyFont="1" applyFill="1" applyBorder="1" applyAlignment="1" applyProtection="1">
      <alignment horizontal="center"/>
    </xf>
    <xf numFmtId="0" fontId="10" fillId="14" borderId="2" xfId="0" applyFont="1" applyFill="1" applyBorder="1" applyAlignment="1" applyProtection="1">
      <alignment horizontal="left" vertical="top"/>
      <protection locked="0"/>
    </xf>
    <xf numFmtId="0" fontId="36" fillId="7" borderId="20" xfId="0" applyFont="1" applyFill="1" applyBorder="1" applyAlignment="1" applyProtection="1">
      <alignment horizontal="right" vertical="center"/>
    </xf>
    <xf numFmtId="0" fontId="19" fillId="17" borderId="0" xfId="0" applyFont="1" applyFill="1" applyBorder="1" applyAlignment="1" applyProtection="1">
      <alignment horizontal="right"/>
    </xf>
    <xf numFmtId="169" fontId="47" fillId="4" borderId="0" xfId="0" applyNumberFormat="1" applyFont="1" applyFill="1" applyProtection="1">
      <protection locked="0"/>
    </xf>
    <xf numFmtId="8" fontId="37" fillId="4" borderId="0" xfId="0" applyNumberFormat="1" applyFont="1" applyFill="1" applyProtection="1">
      <protection locked="0"/>
    </xf>
    <xf numFmtId="0" fontId="48" fillId="4" borderId="0" xfId="0" applyFont="1" applyFill="1" applyBorder="1" applyAlignment="1">
      <alignment horizontal="center" vertical="center"/>
    </xf>
    <xf numFmtId="169" fontId="0" fillId="13" borderId="1" xfId="0" applyNumberFormat="1" applyFill="1" applyBorder="1" applyProtection="1"/>
    <xf numFmtId="0" fontId="10" fillId="6" borderId="0" xfId="0" applyFont="1" applyFill="1" applyProtection="1">
      <protection locked="0"/>
    </xf>
    <xf numFmtId="0" fontId="10" fillId="6" borderId="2" xfId="0" applyFont="1" applyFill="1" applyBorder="1" applyProtection="1">
      <protection locked="0"/>
    </xf>
    <xf numFmtId="0" fontId="37" fillId="6" borderId="2" xfId="0" applyFont="1" applyFill="1" applyBorder="1" applyProtection="1">
      <protection locked="0"/>
    </xf>
    <xf numFmtId="1" fontId="19" fillId="4" borderId="1" xfId="3" applyNumberFormat="1" applyFont="1" applyFill="1" applyBorder="1" applyAlignment="1" applyProtection="1">
      <alignment horizontal="center"/>
      <protection locked="0"/>
    </xf>
    <xf numFmtId="1" fontId="19" fillId="4" borderId="13" xfId="3" applyNumberFormat="1" applyFont="1" applyFill="1" applyBorder="1" applyAlignment="1" applyProtection="1">
      <alignment horizontal="center"/>
      <protection locked="0"/>
    </xf>
    <xf numFmtId="0" fontId="19" fillId="7" borderId="1" xfId="0" applyFont="1" applyFill="1" applyBorder="1" applyProtection="1">
      <protection locked="0"/>
    </xf>
    <xf numFmtId="1" fontId="19" fillId="4" borderId="0" xfId="0" applyNumberFormat="1" applyFont="1" applyFill="1" applyBorder="1" applyAlignment="1" applyProtection="1">
      <alignment horizontal="left"/>
      <protection locked="0"/>
    </xf>
    <xf numFmtId="0" fontId="19" fillId="4" borderId="0" xfId="0" applyFont="1" applyFill="1" applyBorder="1" applyAlignment="1" applyProtection="1">
      <protection locked="0"/>
    </xf>
    <xf numFmtId="0" fontId="36" fillId="5" borderId="2" xfId="0" applyFont="1" applyFill="1" applyBorder="1" applyProtection="1">
      <protection locked="0"/>
    </xf>
    <xf numFmtId="0" fontId="19" fillId="4" borderId="0" xfId="0" applyFont="1" applyFill="1" applyAlignment="1" applyProtection="1">
      <alignment horizontal="right"/>
      <protection locked="0"/>
    </xf>
    <xf numFmtId="0" fontId="19" fillId="4" borderId="0" xfId="0" applyFont="1" applyFill="1" applyBorder="1" applyAlignment="1" applyProtection="1">
      <alignment horizontal="right"/>
      <protection locked="0"/>
    </xf>
    <xf numFmtId="0" fontId="28" fillId="6" borderId="0" xfId="0" applyFont="1" applyFill="1" applyProtection="1">
      <protection locked="0"/>
    </xf>
    <xf numFmtId="14" fontId="27" fillId="6" borderId="0" xfId="0" applyNumberFormat="1" applyFont="1" applyFill="1" applyProtection="1">
      <protection locked="0"/>
    </xf>
    <xf numFmtId="0" fontId="0" fillId="0" borderId="0" xfId="0" applyProtection="1">
      <protection locked="0"/>
    </xf>
    <xf numFmtId="0" fontId="0" fillId="0" borderId="2" xfId="0" applyBorder="1" applyProtection="1">
      <protection locked="0"/>
    </xf>
    <xf numFmtId="0" fontId="2" fillId="0" borderId="0" xfId="0" applyFont="1" applyAlignment="1" applyProtection="1">
      <alignment horizontal="center"/>
      <protection locked="0"/>
    </xf>
    <xf numFmtId="7" fontId="10" fillId="13" borderId="1" xfId="0" applyNumberFormat="1" applyFont="1" applyFill="1" applyBorder="1"/>
    <xf numFmtId="0" fontId="50" fillId="11" borderId="14" xfId="0" applyNumberFormat="1" applyFont="1" applyFill="1" applyBorder="1" applyAlignment="1" applyProtection="1">
      <alignment horizontal="center"/>
    </xf>
    <xf numFmtId="164" fontId="1" fillId="4" borderId="0" xfId="3" applyFont="1" applyFill="1" applyProtection="1"/>
    <xf numFmtId="0" fontId="1" fillId="15" borderId="0" xfId="0" applyFont="1" applyFill="1"/>
    <xf numFmtId="0" fontId="1" fillId="15" borderId="2" xfId="0" applyFont="1" applyFill="1" applyBorder="1"/>
    <xf numFmtId="0" fontId="0" fillId="15" borderId="2" xfId="0" applyFill="1" applyBorder="1"/>
    <xf numFmtId="14" fontId="51" fillId="11" borderId="2" xfId="0" applyNumberFormat="1" applyFont="1" applyFill="1" applyBorder="1" applyAlignment="1" applyProtection="1">
      <alignment horizontal="right" vertical="center"/>
    </xf>
    <xf numFmtId="0" fontId="1" fillId="4" borderId="2" xfId="0" applyFont="1" applyFill="1" applyBorder="1" applyProtection="1"/>
    <xf numFmtId="0" fontId="1" fillId="15" borderId="0" xfId="0" applyFont="1" applyFill="1" applyBorder="1"/>
    <xf numFmtId="167" fontId="32" fillId="17" borderId="20" xfId="1" applyFont="1" applyFill="1" applyBorder="1" applyProtection="1">
      <protection locked="0"/>
    </xf>
    <xf numFmtId="164" fontId="32" fillId="17" borderId="20" xfId="3" applyFont="1" applyFill="1" applyBorder="1" applyProtection="1">
      <protection locked="0"/>
    </xf>
    <xf numFmtId="173" fontId="42" fillId="13" borderId="15" xfId="0" applyNumberFormat="1" applyFont="1" applyFill="1" applyBorder="1" applyProtection="1"/>
    <xf numFmtId="0" fontId="41" fillId="4" borderId="31" xfId="0" applyFont="1" applyFill="1" applyBorder="1" applyProtection="1"/>
    <xf numFmtId="0" fontId="0" fillId="4" borderId="32" xfId="0" applyFill="1" applyBorder="1" applyProtection="1"/>
    <xf numFmtId="0" fontId="42" fillId="4" borderId="0" xfId="0" applyFont="1" applyFill="1" applyBorder="1" applyAlignment="1" applyProtection="1">
      <alignment horizontal="center"/>
    </xf>
    <xf numFmtId="0" fontId="0" fillId="4" borderId="33" xfId="0" applyFill="1" applyBorder="1" applyProtection="1"/>
    <xf numFmtId="0" fontId="41" fillId="4" borderId="34" xfId="0" applyFont="1" applyFill="1" applyBorder="1" applyAlignment="1" applyProtection="1">
      <alignment horizontal="center"/>
    </xf>
    <xf numFmtId="173" fontId="42" fillId="13" borderId="35" xfId="0" applyNumberFormat="1" applyFont="1" applyFill="1" applyBorder="1" applyProtection="1"/>
    <xf numFmtId="169" fontId="42" fillId="7" borderId="36" xfId="0" applyNumberFormat="1" applyFont="1" applyFill="1" applyBorder="1" applyProtection="1">
      <protection locked="0"/>
    </xf>
    <xf numFmtId="0" fontId="0" fillId="4" borderId="37" xfId="0" applyFill="1" applyBorder="1" applyProtection="1"/>
    <xf numFmtId="0" fontId="0" fillId="13" borderId="0" xfId="0" applyFill="1" applyProtection="1"/>
    <xf numFmtId="0" fontId="0" fillId="13" borderId="0" xfId="0" applyFill="1" applyBorder="1" applyProtection="1"/>
    <xf numFmtId="0" fontId="0" fillId="4" borderId="31" xfId="0" applyFill="1" applyBorder="1" applyProtection="1"/>
    <xf numFmtId="0" fontId="1" fillId="4" borderId="38" xfId="0" applyFont="1" applyFill="1" applyBorder="1" applyProtection="1"/>
    <xf numFmtId="173" fontId="0" fillId="13" borderId="0" xfId="0" applyNumberFormat="1" applyFill="1" applyBorder="1" applyProtection="1"/>
    <xf numFmtId="173" fontId="0" fillId="13" borderId="39" xfId="0" applyNumberFormat="1" applyFill="1" applyBorder="1" applyProtection="1"/>
    <xf numFmtId="0" fontId="0" fillId="13" borderId="40" xfId="0" applyFill="1" applyBorder="1" applyProtection="1"/>
    <xf numFmtId="173" fontId="0" fillId="13" borderId="40" xfId="0" applyNumberFormat="1" applyFill="1" applyBorder="1" applyProtection="1"/>
    <xf numFmtId="175" fontId="0" fillId="13" borderId="40" xfId="0" applyNumberFormat="1" applyFill="1" applyBorder="1" applyProtection="1"/>
    <xf numFmtId="173" fontId="0" fillId="13" borderId="41" xfId="0" applyNumberFormat="1" applyFill="1" applyBorder="1" applyProtection="1"/>
    <xf numFmtId="175" fontId="0" fillId="4" borderId="40" xfId="0" applyNumberFormat="1" applyFill="1" applyBorder="1" applyProtection="1"/>
    <xf numFmtId="175" fontId="0" fillId="13" borderId="42" xfId="0" applyNumberFormat="1" applyFill="1" applyBorder="1" applyProtection="1"/>
    <xf numFmtId="0" fontId="1" fillId="4" borderId="43" xfId="0" applyFont="1" applyFill="1" applyBorder="1" applyProtection="1"/>
    <xf numFmtId="0" fontId="41" fillId="4" borderId="44" xfId="0" applyFont="1" applyFill="1" applyBorder="1" applyProtection="1"/>
    <xf numFmtId="0" fontId="41" fillId="4" borderId="45" xfId="0" applyFont="1" applyFill="1" applyBorder="1" applyProtection="1"/>
    <xf numFmtId="169" fontId="0" fillId="4" borderId="46" xfId="0" applyNumberFormat="1" applyFill="1" applyBorder="1" applyProtection="1"/>
    <xf numFmtId="0" fontId="0" fillId="4" borderId="45" xfId="0" applyFill="1" applyBorder="1" applyProtection="1"/>
    <xf numFmtId="0" fontId="0" fillId="4" borderId="46" xfId="0" applyFill="1" applyBorder="1" applyProtection="1"/>
    <xf numFmtId="173" fontId="42" fillId="13" borderId="47" xfId="0" applyNumberFormat="1" applyFont="1" applyFill="1" applyBorder="1" applyProtection="1"/>
    <xf numFmtId="0" fontId="0" fillId="13" borderId="45" xfId="0" applyFill="1" applyBorder="1" applyProtection="1"/>
    <xf numFmtId="169" fontId="42" fillId="13" borderId="48" xfId="0" applyNumberFormat="1" applyFont="1" applyFill="1" applyBorder="1" applyProtection="1">
      <protection locked="0"/>
    </xf>
    <xf numFmtId="173" fontId="42" fillId="13" borderId="49" xfId="0" applyNumberFormat="1" applyFont="1" applyFill="1" applyBorder="1" applyProtection="1"/>
    <xf numFmtId="169" fontId="42" fillId="7" borderId="16" xfId="0" applyNumberFormat="1" applyFont="1" applyFill="1" applyBorder="1" applyProtection="1">
      <protection locked="0"/>
    </xf>
    <xf numFmtId="169" fontId="42" fillId="16" borderId="16" xfId="0" applyNumberFormat="1" applyFont="1" applyFill="1" applyBorder="1" applyProtection="1">
      <protection locked="0"/>
    </xf>
    <xf numFmtId="167" fontId="32" fillId="13" borderId="50" xfId="1" applyFont="1" applyFill="1" applyBorder="1" applyAlignment="1" applyProtection="1">
      <alignment horizontal="center"/>
      <protection locked="0"/>
    </xf>
    <xf numFmtId="167" fontId="32" fillId="13" borderId="51" xfId="1" applyFont="1" applyFill="1" applyBorder="1" applyAlignment="1" applyProtection="1">
      <alignment horizontal="center"/>
      <protection locked="0"/>
    </xf>
    <xf numFmtId="0" fontId="0" fillId="4" borderId="51" xfId="0" applyFill="1" applyBorder="1" applyProtection="1"/>
    <xf numFmtId="167" fontId="32" fillId="13" borderId="51" xfId="1" applyFont="1" applyFill="1" applyBorder="1" applyProtection="1">
      <protection locked="0"/>
    </xf>
    <xf numFmtId="167" fontId="32" fillId="4" borderId="51" xfId="1" applyFont="1" applyFill="1" applyBorder="1" applyProtection="1">
      <protection locked="0"/>
    </xf>
    <xf numFmtId="167" fontId="32" fillId="13" borderId="52" xfId="1" applyFont="1" applyFill="1" applyBorder="1" applyProtection="1">
      <protection locked="0"/>
    </xf>
    <xf numFmtId="167" fontId="32" fillId="13" borderId="54" xfId="1" applyFont="1" applyFill="1" applyBorder="1" applyProtection="1">
      <protection locked="0"/>
    </xf>
    <xf numFmtId="167" fontId="32" fillId="13" borderId="55" xfId="1" applyFont="1" applyFill="1" applyBorder="1" applyAlignment="1" applyProtection="1">
      <alignment horizontal="center"/>
      <protection locked="0"/>
    </xf>
    <xf numFmtId="0" fontId="19" fillId="7" borderId="4" xfId="0" applyFont="1" applyFill="1" applyBorder="1" applyProtection="1"/>
    <xf numFmtId="0" fontId="10" fillId="17" borderId="56" xfId="0" applyFont="1" applyFill="1" applyBorder="1" applyProtection="1"/>
    <xf numFmtId="0" fontId="10" fillId="17" borderId="51" xfId="0" applyFont="1" applyFill="1" applyBorder="1" applyProtection="1"/>
    <xf numFmtId="169" fontId="0" fillId="11" borderId="1" xfId="0" applyNumberFormat="1" applyFill="1" applyBorder="1" applyProtection="1"/>
    <xf numFmtId="0" fontId="0" fillId="4" borderId="24" xfId="0" applyFill="1" applyBorder="1" applyProtection="1">
      <protection locked="0"/>
    </xf>
    <xf numFmtId="0" fontId="0" fillId="4" borderId="57" xfId="0" applyFill="1" applyBorder="1" applyProtection="1">
      <protection locked="0"/>
    </xf>
    <xf numFmtId="0" fontId="0" fillId="4" borderId="58" xfId="0" applyFill="1" applyBorder="1" applyProtection="1">
      <protection locked="0"/>
    </xf>
    <xf numFmtId="0" fontId="1" fillId="4" borderId="59" xfId="0" applyFont="1" applyFill="1" applyBorder="1" applyProtection="1">
      <protection locked="0"/>
    </xf>
    <xf numFmtId="0" fontId="0" fillId="4" borderId="6" xfId="0" applyFill="1" applyBorder="1" applyProtection="1">
      <protection locked="0"/>
    </xf>
    <xf numFmtId="0" fontId="0" fillId="4" borderId="59" xfId="0" applyFill="1" applyBorder="1" applyProtection="1">
      <protection locked="0"/>
    </xf>
    <xf numFmtId="0" fontId="0" fillId="4" borderId="60" xfId="0" applyFill="1" applyBorder="1" applyProtection="1">
      <protection locked="0"/>
    </xf>
    <xf numFmtId="0" fontId="0" fillId="4" borderId="61" xfId="0" applyFill="1" applyBorder="1" applyProtection="1">
      <protection locked="0"/>
    </xf>
    <xf numFmtId="0" fontId="0" fillId="4" borderId="62" xfId="0" applyFill="1" applyBorder="1" applyProtection="1">
      <protection locked="0"/>
    </xf>
    <xf numFmtId="0" fontId="48" fillId="4" borderId="0" xfId="0" applyFont="1" applyFill="1" applyAlignment="1" applyProtection="1">
      <alignment horizontal="right" vertical="center"/>
    </xf>
    <xf numFmtId="0" fontId="3" fillId="13" borderId="0" xfId="0" applyFont="1" applyFill="1" applyBorder="1" applyProtection="1"/>
    <xf numFmtId="0" fontId="3" fillId="13" borderId="0" xfId="0" applyFont="1" applyFill="1" applyBorder="1" applyAlignment="1" applyProtection="1">
      <alignment horizontal="center"/>
    </xf>
    <xf numFmtId="167" fontId="0" fillId="13" borderId="0" xfId="0" applyNumberFormat="1" applyFill="1" applyProtection="1"/>
    <xf numFmtId="10" fontId="10" fillId="13" borderId="0" xfId="0" applyNumberFormat="1" applyFont="1" applyFill="1" applyAlignment="1" applyProtection="1">
      <alignment horizontal="center"/>
    </xf>
    <xf numFmtId="169" fontId="45" fillId="18" borderId="63" xfId="0" applyNumberFormat="1" applyFont="1" applyFill="1" applyBorder="1" applyAlignment="1" applyProtection="1">
      <alignment horizontal="center"/>
      <protection locked="0"/>
    </xf>
    <xf numFmtId="10" fontId="2" fillId="18" borderId="1" xfId="0" applyNumberFormat="1" applyFont="1" applyFill="1" applyBorder="1" applyAlignment="1" applyProtection="1">
      <alignment horizontal="center"/>
      <protection locked="0"/>
    </xf>
    <xf numFmtId="169" fontId="45" fillId="18" borderId="64" xfId="0" applyNumberFormat="1" applyFont="1" applyFill="1" applyBorder="1" applyAlignment="1" applyProtection="1">
      <alignment horizontal="center"/>
      <protection locked="0"/>
    </xf>
    <xf numFmtId="0" fontId="4" fillId="0" borderId="0" xfId="2" applyAlignment="1" applyProtection="1"/>
    <xf numFmtId="176" fontId="55" fillId="20" borderId="0" xfId="0" applyNumberFormat="1" applyFont="1" applyFill="1" applyAlignment="1">
      <alignment horizontal="center" vertical="center"/>
    </xf>
    <xf numFmtId="0" fontId="54" fillId="13" borderId="0" xfId="0" applyFont="1" applyFill="1" applyAlignment="1">
      <alignment horizontal="right" vertical="top"/>
    </xf>
    <xf numFmtId="0" fontId="57" fillId="17" borderId="2" xfId="0" applyFont="1" applyFill="1" applyBorder="1" applyAlignment="1">
      <alignment horizontal="left" vertical="center" indent="9"/>
    </xf>
    <xf numFmtId="0" fontId="58" fillId="17" borderId="2" xfId="0" applyFont="1" applyFill="1" applyBorder="1"/>
    <xf numFmtId="0" fontId="59" fillId="0" borderId="66" xfId="0" applyFont="1" applyBorder="1" applyAlignment="1">
      <alignment horizontal="left" vertical="center" wrapText="1" indent="1"/>
    </xf>
    <xf numFmtId="0" fontId="59" fillId="0" borderId="66" xfId="0" applyFont="1" applyBorder="1" applyAlignment="1">
      <alignment horizontal="left" vertical="center" wrapText="1" indent="5"/>
    </xf>
    <xf numFmtId="0" fontId="59" fillId="0" borderId="66" xfId="0" applyFont="1" applyBorder="1" applyAlignment="1">
      <alignment horizontal="left" vertical="center" wrapText="1" indent="4"/>
    </xf>
    <xf numFmtId="14" fontId="0" fillId="15" borderId="0" xfId="0" applyNumberFormat="1" applyFill="1"/>
    <xf numFmtId="10" fontId="60" fillId="21" borderId="0" xfId="0" applyNumberFormat="1" applyFont="1" applyFill="1" applyAlignment="1">
      <alignment horizontal="left" vertical="center" wrapText="1" indent="2"/>
    </xf>
    <xf numFmtId="0" fontId="59" fillId="0" borderId="0" xfId="0" applyFont="1" applyAlignment="1">
      <alignment horizontal="left" vertical="center" wrapText="1" indent="4"/>
    </xf>
    <xf numFmtId="10" fontId="59" fillId="0" borderId="0" xfId="0" applyNumberFormat="1" applyFont="1" applyAlignment="1">
      <alignment horizontal="left" vertical="center" wrapText="1" indent="5"/>
    </xf>
    <xf numFmtId="0" fontId="59" fillId="0" borderId="0" xfId="0" applyFont="1" applyAlignment="1">
      <alignment horizontal="left" vertical="center" wrapText="1" indent="2"/>
    </xf>
    <xf numFmtId="0" fontId="59" fillId="0" borderId="0" xfId="0" applyFont="1" applyAlignment="1">
      <alignment horizontal="left" vertical="center" wrapText="1" indent="3"/>
    </xf>
    <xf numFmtId="0" fontId="64" fillId="0" borderId="0" xfId="0" applyFont="1" applyAlignment="1">
      <alignment horizontal="left" vertical="center" wrapText="1" indent="2"/>
    </xf>
    <xf numFmtId="0" fontId="59" fillId="0" borderId="67" xfId="0" applyFont="1" applyBorder="1" applyAlignment="1">
      <alignment horizontal="left" vertical="center" wrapText="1" indent="4"/>
    </xf>
    <xf numFmtId="10" fontId="59" fillId="0" borderId="67" xfId="0" applyNumberFormat="1" applyFont="1" applyBorder="1" applyAlignment="1">
      <alignment horizontal="left" vertical="center" wrapText="1" indent="5"/>
    </xf>
    <xf numFmtId="0" fontId="64" fillId="0" borderId="67" xfId="0" applyFont="1" applyBorder="1" applyAlignment="1">
      <alignment horizontal="left" vertical="center" wrapText="1" indent="2"/>
    </xf>
    <xf numFmtId="0" fontId="59" fillId="0" borderId="67" xfId="0" applyFont="1" applyBorder="1" applyAlignment="1">
      <alignment horizontal="left" vertical="center" wrapText="1" indent="3"/>
    </xf>
    <xf numFmtId="14" fontId="65" fillId="13" borderId="0" xfId="0" applyNumberFormat="1" applyFont="1" applyFill="1" applyAlignment="1">
      <alignment vertical="top" wrapText="1"/>
    </xf>
    <xf numFmtId="0" fontId="59" fillId="0" borderId="0" xfId="0" applyFont="1" applyAlignment="1">
      <alignment horizontal="right" vertical="center" wrapText="1"/>
    </xf>
    <xf numFmtId="0" fontId="59" fillId="0" borderId="67" xfId="0" applyFont="1" applyBorder="1" applyAlignment="1">
      <alignment horizontal="right" vertical="center" wrapText="1"/>
    </xf>
    <xf numFmtId="0" fontId="59" fillId="0" borderId="67" xfId="0" applyFont="1" applyBorder="1" applyAlignment="1">
      <alignment horizontal="left" vertical="center" wrapText="1" indent="2"/>
    </xf>
    <xf numFmtId="0" fontId="64" fillId="0" borderId="68" xfId="0" applyFont="1" applyBorder="1" applyAlignment="1">
      <alignment horizontal="right" vertical="center" wrapText="1"/>
    </xf>
    <xf numFmtId="10" fontId="64" fillId="0" borderId="68" xfId="0" applyNumberFormat="1" applyFont="1" applyBorder="1" applyAlignment="1">
      <alignment horizontal="left" vertical="center" wrapText="1" indent="5"/>
    </xf>
    <xf numFmtId="0" fontId="59" fillId="0" borderId="68" xfId="0" applyFont="1" applyBorder="1" applyAlignment="1">
      <alignment horizontal="left" vertical="center" wrapText="1" indent="2"/>
    </xf>
    <xf numFmtId="0" fontId="64" fillId="0" borderId="68" xfId="0" applyFont="1" applyBorder="1" applyAlignment="1">
      <alignment horizontal="left" vertical="center" wrapText="1" indent="2"/>
    </xf>
    <xf numFmtId="0" fontId="64" fillId="0" borderId="69" xfId="0" applyFont="1" applyBorder="1" applyAlignment="1">
      <alignment horizontal="left" vertical="center" wrapText="1" indent="2"/>
    </xf>
    <xf numFmtId="10" fontId="64" fillId="0" borderId="0" xfId="0" applyNumberFormat="1" applyFont="1" applyAlignment="1">
      <alignment horizontal="left" vertical="center" wrapText="1" indent="5"/>
    </xf>
    <xf numFmtId="10" fontId="59" fillId="0" borderId="68" xfId="0" applyNumberFormat="1" applyFont="1" applyBorder="1" applyAlignment="1">
      <alignment horizontal="left" vertical="center" wrapText="1" indent="5"/>
    </xf>
    <xf numFmtId="0" fontId="59" fillId="0" borderId="69" xfId="0" applyFont="1" applyBorder="1" applyAlignment="1">
      <alignment horizontal="left" vertical="center" wrapText="1" indent="2"/>
    </xf>
    <xf numFmtId="14" fontId="65" fillId="15" borderId="0" xfId="0" applyNumberFormat="1" applyFont="1" applyFill="1" applyAlignment="1">
      <alignment vertical="top" wrapText="1"/>
    </xf>
    <xf numFmtId="0" fontId="0" fillId="0" borderId="0" xfId="0" applyAlignment="1">
      <alignment vertical="center" wrapText="1"/>
    </xf>
    <xf numFmtId="10" fontId="59" fillId="0" borderId="0" xfId="0" applyNumberFormat="1" applyFont="1" applyAlignment="1">
      <alignment horizontal="left" vertical="center" wrapText="1" indent="4"/>
    </xf>
    <xf numFmtId="0" fontId="64" fillId="0" borderId="67" xfId="0" applyFont="1" applyBorder="1" applyAlignment="1">
      <alignment horizontal="right" vertical="center" wrapText="1"/>
    </xf>
    <xf numFmtId="10" fontId="59" fillId="0" borderId="67" xfId="0" applyNumberFormat="1" applyFont="1" applyBorder="1" applyAlignment="1">
      <alignment horizontal="left" vertical="center" wrapText="1" indent="4"/>
    </xf>
    <xf numFmtId="0" fontId="64" fillId="0" borderId="67" xfId="0" applyFont="1" applyBorder="1" applyAlignment="1">
      <alignment horizontal="left" vertical="center" wrapText="1" indent="1"/>
    </xf>
    <xf numFmtId="14" fontId="65" fillId="14" borderId="0" xfId="0" applyNumberFormat="1" applyFont="1" applyFill="1" applyAlignment="1">
      <alignment vertical="top" wrapText="1"/>
    </xf>
    <xf numFmtId="14" fontId="1" fillId="14" borderId="0" xfId="0" applyNumberFormat="1" applyFont="1" applyFill="1" applyAlignment="1">
      <alignment vertical="top" wrapText="1"/>
    </xf>
    <xf numFmtId="0" fontId="66" fillId="0" borderId="0" xfId="0" applyFont="1" applyAlignment="1">
      <alignment vertical="center" wrapText="1"/>
    </xf>
    <xf numFmtId="10" fontId="68" fillId="0" borderId="0" xfId="0" applyNumberFormat="1" applyFont="1" applyAlignment="1">
      <alignment horizontal="left" vertical="center" wrapText="1" indent="5"/>
    </xf>
    <xf numFmtId="177" fontId="0" fillId="0" borderId="0" xfId="0" applyNumberFormat="1"/>
    <xf numFmtId="10" fontId="60" fillId="21" borderId="67" xfId="0" applyNumberFormat="1" applyFont="1" applyFill="1" applyBorder="1" applyAlignment="1">
      <alignment horizontal="left" vertical="center" wrapText="1" indent="2"/>
    </xf>
    <xf numFmtId="0" fontId="66" fillId="17" borderId="67" xfId="0" applyFont="1" applyFill="1" applyBorder="1" applyAlignment="1">
      <alignment horizontal="left" vertical="center" wrapText="1" indent="7"/>
    </xf>
    <xf numFmtId="10" fontId="68" fillId="0" borderId="67" xfId="0" applyNumberFormat="1" applyFont="1" applyBorder="1" applyAlignment="1">
      <alignment horizontal="left" vertical="center" wrapText="1" indent="5"/>
    </xf>
    <xf numFmtId="169" fontId="0" fillId="0" borderId="0" xfId="0" applyNumberFormat="1"/>
    <xf numFmtId="14" fontId="69" fillId="13" borderId="0" xfId="0" applyNumberFormat="1" applyFont="1" applyFill="1" applyAlignment="1">
      <alignment vertical="top" wrapText="1"/>
    </xf>
    <xf numFmtId="10" fontId="70" fillId="21" borderId="68" xfId="0" applyNumberFormat="1" applyFont="1" applyFill="1" applyBorder="1" applyAlignment="1">
      <alignment horizontal="left" vertical="center" wrapText="1" indent="2"/>
    </xf>
    <xf numFmtId="10" fontId="68" fillId="0" borderId="68" xfId="0" applyNumberFormat="1" applyFont="1" applyBorder="1" applyAlignment="1">
      <alignment horizontal="left" vertical="center" wrapText="1" indent="5"/>
    </xf>
    <xf numFmtId="10" fontId="60" fillId="21" borderId="68" xfId="0" applyNumberFormat="1" applyFont="1" applyFill="1" applyBorder="1" applyAlignment="1">
      <alignment horizontal="left" vertical="center" wrapText="1" indent="2"/>
    </xf>
    <xf numFmtId="0" fontId="54" fillId="0" borderId="0" xfId="0" applyFont="1"/>
    <xf numFmtId="10" fontId="60" fillId="14" borderId="0" xfId="0" applyNumberFormat="1" applyFont="1" applyFill="1" applyAlignment="1">
      <alignment horizontal="left" vertical="center" wrapText="1" indent="2"/>
    </xf>
    <xf numFmtId="10" fontId="0" fillId="17" borderId="0" xfId="0" applyNumberFormat="1" applyFill="1"/>
    <xf numFmtId="169" fontId="68" fillId="14" borderId="0" xfId="0" applyNumberFormat="1" applyFont="1" applyFill="1" applyAlignment="1">
      <alignment horizontal="left" vertical="center" wrapText="1" indent="5"/>
    </xf>
    <xf numFmtId="169" fontId="0" fillId="15" borderId="0" xfId="0" applyNumberFormat="1" applyFill="1"/>
    <xf numFmtId="10" fontId="0" fillId="14" borderId="0" xfId="0" applyNumberFormat="1" applyFill="1"/>
    <xf numFmtId="10" fontId="0" fillId="0" borderId="0" xfId="0" applyNumberFormat="1"/>
    <xf numFmtId="169" fontId="0" fillId="14" borderId="0" xfId="0" applyNumberFormat="1" applyFill="1"/>
    <xf numFmtId="0" fontId="68" fillId="0" borderId="0" xfId="0" applyFont="1" applyAlignment="1">
      <alignment horizontal="center" vertical="center"/>
    </xf>
    <xf numFmtId="0" fontId="71" fillId="0" borderId="0" xfId="0" applyFont="1" applyAlignment="1">
      <alignment horizontal="center" vertical="center"/>
    </xf>
    <xf numFmtId="0" fontId="66" fillId="0" borderId="0" xfId="0" applyFont="1" applyAlignment="1">
      <alignment horizontal="left" vertical="center" indent="3"/>
    </xf>
    <xf numFmtId="0" fontId="66" fillId="0" borderId="0" xfId="0" applyFont="1" applyAlignment="1">
      <alignment horizontal="justify" vertical="center"/>
    </xf>
    <xf numFmtId="0" fontId="66" fillId="0" borderId="0" xfId="0" quotePrefix="1" applyFont="1" applyAlignment="1">
      <alignment horizontal="justify" vertical="center"/>
    </xf>
    <xf numFmtId="0" fontId="66" fillId="0" borderId="0" xfId="0" quotePrefix="1" applyFont="1" applyAlignment="1">
      <alignment horizontal="left" vertical="center" indent="3"/>
    </xf>
    <xf numFmtId="0" fontId="66" fillId="0" borderId="0" xfId="0" applyFont="1" applyAlignment="1">
      <alignment horizontal="left" vertical="center" indent="12"/>
    </xf>
    <xf numFmtId="0" fontId="66" fillId="0" borderId="0" xfId="0" applyFont="1" applyAlignment="1">
      <alignment horizontal="left" vertical="center" indent="11"/>
    </xf>
    <xf numFmtId="0" fontId="66" fillId="0" borderId="70" xfId="0" applyFont="1" applyBorder="1" applyAlignment="1">
      <alignment horizontal="left" vertical="center" wrapText="1" indent="1"/>
    </xf>
    <xf numFmtId="0" fontId="66" fillId="0" borderId="70" xfId="0" applyFont="1" applyBorder="1" applyAlignment="1">
      <alignment vertical="center" wrapText="1"/>
    </xf>
    <xf numFmtId="0" fontId="66" fillId="0" borderId="70" xfId="0" applyFont="1" applyBorder="1" applyAlignment="1">
      <alignment horizontal="left" vertical="center" wrapText="1" indent="3"/>
    </xf>
    <xf numFmtId="178" fontId="66" fillId="0" borderId="70" xfId="0" applyNumberFormat="1" applyFont="1" applyBorder="1" applyAlignment="1">
      <alignment horizontal="left" vertical="center" wrapText="1" indent="5"/>
    </xf>
    <xf numFmtId="178" fontId="66" fillId="0" borderId="70" xfId="0" applyNumberFormat="1" applyFont="1" applyBorder="1" applyAlignment="1">
      <alignment horizontal="left" vertical="center" wrapText="1" indent="3"/>
    </xf>
    <xf numFmtId="178" fontId="66" fillId="0" borderId="70" xfId="0" applyNumberFormat="1" applyFont="1" applyBorder="1" applyAlignment="1">
      <alignment horizontal="left" vertical="center" wrapText="1" indent="4"/>
    </xf>
    <xf numFmtId="0" fontId="66" fillId="0" borderId="0" xfId="0" applyFont="1" applyAlignment="1">
      <alignment horizontal="left" vertical="center" wrapText="1" indent="3"/>
    </xf>
    <xf numFmtId="178" fontId="66" fillId="0" borderId="0" xfId="0" applyNumberFormat="1" applyFont="1" applyAlignment="1">
      <alignment horizontal="left" vertical="center" wrapText="1" indent="5"/>
    </xf>
    <xf numFmtId="178" fontId="66" fillId="0" borderId="0" xfId="0" applyNumberFormat="1" applyFont="1" applyAlignment="1">
      <alignment horizontal="left" vertical="center" wrapText="1" indent="3"/>
    </xf>
    <xf numFmtId="178" fontId="66" fillId="0" borderId="0" xfId="0" applyNumberFormat="1" applyFont="1" applyAlignment="1">
      <alignment horizontal="left" vertical="center" wrapText="1" indent="4"/>
    </xf>
    <xf numFmtId="0" fontId="0" fillId="0" borderId="69" xfId="0" applyBorder="1" applyAlignment="1">
      <alignment vertical="center" wrapText="1"/>
    </xf>
    <xf numFmtId="0" fontId="71" fillId="0" borderId="69" xfId="0" applyFont="1" applyBorder="1" applyAlignment="1">
      <alignment vertical="center" wrapText="1"/>
    </xf>
    <xf numFmtId="0" fontId="66" fillId="0" borderId="69" xfId="0" applyFont="1" applyBorder="1" applyAlignment="1">
      <alignment horizontal="left" vertical="center" wrapText="1" indent="3"/>
    </xf>
    <xf numFmtId="0" fontId="66" fillId="0" borderId="69" xfId="0" applyFont="1" applyBorder="1" applyAlignment="1">
      <alignment horizontal="left" vertical="center" wrapText="1" indent="5"/>
    </xf>
    <xf numFmtId="178" fontId="66" fillId="0" borderId="69" xfId="0" applyNumberFormat="1" applyFont="1" applyBorder="1" applyAlignment="1">
      <alignment horizontal="left" vertical="center" wrapText="1" indent="3"/>
    </xf>
    <xf numFmtId="178" fontId="66" fillId="0" borderId="69" xfId="0" applyNumberFormat="1" applyFont="1" applyBorder="1" applyAlignment="1">
      <alignment horizontal="left" vertical="center" wrapText="1" indent="4"/>
    </xf>
    <xf numFmtId="0" fontId="66" fillId="0" borderId="0" xfId="0" applyFont="1" applyAlignment="1">
      <alignment horizontal="left" vertical="center" wrapText="1" indent="1"/>
    </xf>
    <xf numFmtId="0" fontId="71" fillId="0" borderId="0" xfId="0" applyFont="1" applyAlignment="1">
      <alignment vertical="center" wrapText="1"/>
    </xf>
    <xf numFmtId="0" fontId="0" fillId="0" borderId="71" xfId="0" applyBorder="1" applyAlignment="1">
      <alignment vertical="center" wrapText="1"/>
    </xf>
    <xf numFmtId="0" fontId="71" fillId="0" borderId="71" xfId="0" applyFont="1" applyBorder="1" applyAlignment="1">
      <alignment vertical="center" wrapText="1"/>
    </xf>
    <xf numFmtId="0" fontId="66" fillId="0" borderId="71" xfId="0" applyFont="1" applyBorder="1" applyAlignment="1">
      <alignment horizontal="left" vertical="center" wrapText="1" indent="3"/>
    </xf>
    <xf numFmtId="178" fontId="66" fillId="0" borderId="71" xfId="0" applyNumberFormat="1" applyFont="1" applyBorder="1" applyAlignment="1">
      <alignment horizontal="left" vertical="center" wrapText="1" indent="4"/>
    </xf>
    <xf numFmtId="178" fontId="66" fillId="0" borderId="71" xfId="0" applyNumberFormat="1" applyFont="1" applyBorder="1" applyAlignment="1">
      <alignment horizontal="left" vertical="center" wrapText="1" indent="3"/>
    </xf>
    <xf numFmtId="0" fontId="66" fillId="0" borderId="71" xfId="0" applyFont="1" applyBorder="1" applyAlignment="1">
      <alignment vertical="center" wrapText="1"/>
    </xf>
    <xf numFmtId="0" fontId="66" fillId="17" borderId="0" xfId="0" applyFont="1" applyFill="1" applyBorder="1" applyAlignment="1">
      <alignment horizontal="left" vertical="center" wrapText="1" indent="7"/>
    </xf>
    <xf numFmtId="169" fontId="1" fillId="13" borderId="16" xfId="0" applyNumberFormat="1" applyFont="1" applyFill="1" applyBorder="1" applyAlignment="1" applyProtection="1">
      <alignment horizontal="center"/>
    </xf>
    <xf numFmtId="0" fontId="40" fillId="13" borderId="0" xfId="0" applyFont="1" applyFill="1" applyProtection="1"/>
    <xf numFmtId="169" fontId="0" fillId="4" borderId="0" xfId="0" applyNumberFormat="1" applyFill="1" applyAlignment="1" applyProtection="1">
      <alignment horizontal="left"/>
    </xf>
    <xf numFmtId="0" fontId="10" fillId="5" borderId="0" xfId="0" applyFont="1" applyFill="1" applyAlignment="1"/>
    <xf numFmtId="169" fontId="10" fillId="13" borderId="0" xfId="0" applyNumberFormat="1" applyFont="1" applyFill="1"/>
    <xf numFmtId="169" fontId="2" fillId="13" borderId="0" xfId="0" applyNumberFormat="1" applyFont="1" applyFill="1" applyAlignment="1" applyProtection="1">
      <alignment horizontal="center"/>
    </xf>
    <xf numFmtId="0" fontId="2" fillId="22" borderId="0" xfId="0" applyFont="1" applyFill="1" applyAlignment="1">
      <alignment horizontal="center" vertical="center" wrapText="1"/>
    </xf>
    <xf numFmtId="0" fontId="2" fillId="0" borderId="0" xfId="0" applyFont="1" applyAlignment="1">
      <alignment vertical="center" wrapText="1"/>
    </xf>
    <xf numFmtId="10" fontId="1" fillId="0" borderId="0" xfId="0" applyNumberFormat="1" applyFont="1" applyAlignment="1">
      <alignment vertical="center" wrapText="1"/>
    </xf>
    <xf numFmtId="6" fontId="1" fillId="0" borderId="0" xfId="0" applyNumberFormat="1" applyFont="1" applyAlignment="1">
      <alignment vertical="center" wrapText="1"/>
    </xf>
    <xf numFmtId="10" fontId="2" fillId="0" borderId="0" xfId="0" applyNumberFormat="1" applyFont="1" applyAlignment="1">
      <alignment vertical="center" wrapText="1"/>
    </xf>
    <xf numFmtId="169" fontId="2" fillId="0" borderId="0" xfId="0" applyNumberFormat="1" applyFont="1" applyAlignment="1">
      <alignment vertical="center" wrapText="1"/>
    </xf>
    <xf numFmtId="169" fontId="2" fillId="13" borderId="0" xfId="0" applyNumberFormat="1" applyFont="1" applyFill="1" applyAlignment="1">
      <alignment vertical="center" wrapText="1"/>
    </xf>
    <xf numFmtId="173" fontId="1" fillId="4" borderId="0" xfId="0" applyNumberFormat="1" applyFont="1" applyFill="1" applyProtection="1"/>
    <xf numFmtId="167" fontId="72" fillId="17" borderId="20" xfId="1" applyFont="1" applyFill="1" applyBorder="1" applyProtection="1">
      <protection locked="0"/>
    </xf>
    <xf numFmtId="22" fontId="2" fillId="13" borderId="0" xfId="0" applyNumberFormat="1" applyFont="1" applyFill="1"/>
    <xf numFmtId="10" fontId="0" fillId="13" borderId="0" xfId="0" applyNumberFormat="1" applyFill="1" applyAlignment="1">
      <alignment horizontal="center"/>
    </xf>
    <xf numFmtId="0" fontId="1" fillId="0" borderId="0" xfId="0" applyFont="1" applyAlignment="1">
      <alignment wrapText="1"/>
    </xf>
    <xf numFmtId="0" fontId="1" fillId="0" borderId="0" xfId="0" applyFont="1" applyAlignment="1">
      <alignment horizontal="center"/>
    </xf>
    <xf numFmtId="0" fontId="0" fillId="13" borderId="0" xfId="0" applyFill="1"/>
    <xf numFmtId="0" fontId="2" fillId="13" borderId="0" xfId="0" applyFont="1" applyFill="1" applyBorder="1" applyProtection="1"/>
    <xf numFmtId="167" fontId="31" fillId="5" borderId="21" xfId="1" applyNumberFormat="1" applyFont="1" applyFill="1" applyBorder="1" applyProtection="1">
      <protection locked="0"/>
    </xf>
    <xf numFmtId="0" fontId="1" fillId="13" borderId="0" xfId="0" applyFont="1" applyFill="1" applyBorder="1" applyProtection="1"/>
    <xf numFmtId="167" fontId="73" fillId="13" borderId="1" xfId="1" applyFont="1" applyFill="1" applyBorder="1" applyProtection="1">
      <protection locked="0"/>
    </xf>
    <xf numFmtId="179" fontId="0" fillId="4" borderId="0" xfId="0" applyNumberFormat="1" applyFill="1" applyProtection="1"/>
    <xf numFmtId="169" fontId="0" fillId="14" borderId="72" xfId="0" applyNumberFormat="1" applyFill="1" applyBorder="1" applyProtection="1">
      <protection locked="0"/>
    </xf>
    <xf numFmtId="169" fontId="0" fillId="14" borderId="73" xfId="0" applyNumberFormat="1" applyFill="1" applyBorder="1" applyProtection="1">
      <protection locked="0"/>
    </xf>
    <xf numFmtId="169" fontId="0" fillId="13" borderId="0" xfId="0" applyNumberFormat="1" applyFill="1" applyBorder="1" applyProtection="1"/>
    <xf numFmtId="169" fontId="1" fillId="14" borderId="0" xfId="0" applyNumberFormat="1" applyFont="1" applyFill="1" applyBorder="1" applyProtection="1"/>
    <xf numFmtId="169" fontId="0" fillId="4" borderId="2" xfId="0" applyNumberFormat="1" applyFill="1" applyBorder="1" applyAlignment="1" applyProtection="1">
      <alignment horizontal="center"/>
    </xf>
    <xf numFmtId="173" fontId="0" fillId="4" borderId="0" xfId="0" applyNumberFormat="1" applyFill="1" applyProtection="1"/>
    <xf numFmtId="0" fontId="1" fillId="4" borderId="0" xfId="0" applyFont="1" applyFill="1" applyBorder="1" applyProtection="1">
      <protection locked="0"/>
    </xf>
    <xf numFmtId="169" fontId="0" fillId="13" borderId="74" xfId="0" applyNumberFormat="1" applyFill="1" applyBorder="1" applyAlignment="1" applyProtection="1"/>
    <xf numFmtId="169" fontId="0" fillId="13" borderId="75" xfId="0" applyNumberFormat="1" applyFill="1" applyBorder="1" applyAlignment="1" applyProtection="1"/>
    <xf numFmtId="0" fontId="74" fillId="15" borderId="0" xfId="0" applyFont="1" applyFill="1" applyProtection="1"/>
    <xf numFmtId="169" fontId="75" fillId="19" borderId="78" xfId="0" applyNumberFormat="1" applyFont="1" applyFill="1" applyBorder="1" applyAlignment="1" applyProtection="1">
      <alignment horizontal="center"/>
      <protection locked="0"/>
    </xf>
    <xf numFmtId="167" fontId="31" fillId="13" borderId="20" xfId="1" applyFont="1" applyFill="1" applyBorder="1" applyAlignment="1" applyProtection="1">
      <alignment horizontal="center"/>
      <protection locked="0"/>
    </xf>
    <xf numFmtId="0" fontId="1" fillId="17" borderId="0" xfId="0" applyFont="1" applyFill="1" applyBorder="1" applyAlignment="1" applyProtection="1">
      <alignment horizontal="center"/>
    </xf>
    <xf numFmtId="0" fontId="2" fillId="13" borderId="14" xfId="0" applyFont="1" applyFill="1" applyBorder="1" applyAlignment="1" applyProtection="1">
      <alignment horizontal="right"/>
    </xf>
    <xf numFmtId="169" fontId="37" fillId="17" borderId="2" xfId="0" applyNumberFormat="1" applyFont="1" applyFill="1" applyBorder="1" applyAlignment="1" applyProtection="1">
      <alignment horizontal="center"/>
    </xf>
    <xf numFmtId="169" fontId="10" fillId="13" borderId="16" xfId="0" applyNumberFormat="1" applyFont="1" applyFill="1" applyBorder="1" applyAlignment="1" applyProtection="1">
      <alignment horizontal="center"/>
    </xf>
    <xf numFmtId="169" fontId="0" fillId="17" borderId="2" xfId="0" applyNumberFormat="1" applyFill="1" applyBorder="1" applyAlignment="1" applyProtection="1">
      <alignment horizontal="center"/>
    </xf>
    <xf numFmtId="169" fontId="0" fillId="17" borderId="0" xfId="0" applyNumberFormat="1" applyFill="1" applyProtection="1"/>
    <xf numFmtId="14" fontId="0" fillId="0" borderId="0" xfId="0" applyNumberFormat="1"/>
    <xf numFmtId="0" fontId="0" fillId="13" borderId="0" xfId="0" applyFill="1" applyAlignment="1">
      <alignment horizontal="center"/>
    </xf>
    <xf numFmtId="0" fontId="0" fillId="14" borderId="0" xfId="0" applyFill="1" applyAlignment="1">
      <alignment horizontal="center"/>
    </xf>
    <xf numFmtId="14" fontId="0" fillId="13" borderId="0" xfId="0" applyNumberFormat="1" applyFill="1"/>
    <xf numFmtId="169" fontId="0" fillId="13" borderId="0" xfId="0" applyNumberFormat="1" applyFill="1"/>
    <xf numFmtId="0" fontId="76" fillId="13" borderId="0" xfId="0" applyFont="1" applyFill="1" applyBorder="1" applyAlignment="1" applyProtection="1">
      <alignment horizontal="center"/>
    </xf>
    <xf numFmtId="10" fontId="1" fillId="13" borderId="0" xfId="0" applyNumberFormat="1" applyFont="1" applyFill="1" applyBorder="1" applyAlignment="1" applyProtection="1">
      <alignment horizontal="center"/>
    </xf>
    <xf numFmtId="0" fontId="10" fillId="11" borderId="0" xfId="0" applyFont="1" applyFill="1" applyBorder="1" applyAlignment="1" applyProtection="1">
      <alignment horizontal="center"/>
    </xf>
    <xf numFmtId="173" fontId="0" fillId="13" borderId="40" xfId="0" applyNumberFormat="1" applyFill="1" applyBorder="1" applyAlignment="1" applyProtection="1">
      <alignment horizontal="center"/>
    </xf>
    <xf numFmtId="175" fontId="19" fillId="13" borderId="40" xfId="0" applyNumberFormat="1" applyFont="1" applyFill="1" applyBorder="1" applyAlignment="1" applyProtection="1">
      <alignment horizontal="center"/>
    </xf>
    <xf numFmtId="22" fontId="0" fillId="5" borderId="0" xfId="0" applyNumberFormat="1" applyFill="1" applyAlignment="1">
      <alignment horizontal="center" vertical="top"/>
    </xf>
    <xf numFmtId="0" fontId="1" fillId="4" borderId="0" xfId="0" applyFont="1" applyFill="1" applyAlignment="1">
      <alignment horizontal="center" vertical="top"/>
    </xf>
    <xf numFmtId="170" fontId="0" fillId="14" borderId="1" xfId="0" applyNumberFormat="1" applyFill="1" applyBorder="1" applyProtection="1">
      <protection locked="0"/>
    </xf>
    <xf numFmtId="2" fontId="3" fillId="14" borderId="1" xfId="0" applyNumberFormat="1" applyFont="1" applyFill="1" applyBorder="1" applyProtection="1">
      <protection locked="0"/>
    </xf>
    <xf numFmtId="168" fontId="0" fillId="14" borderId="1" xfId="0" applyNumberFormat="1" applyFill="1" applyBorder="1" applyProtection="1">
      <protection locked="0"/>
    </xf>
    <xf numFmtId="2" fontId="0" fillId="16" borderId="1" xfId="0" applyNumberFormat="1" applyFill="1" applyBorder="1"/>
    <xf numFmtId="0" fontId="10" fillId="13" borderId="1" xfId="0" applyNumberFormat="1" applyFont="1" applyFill="1" applyBorder="1" applyAlignment="1" applyProtection="1">
      <alignment horizontal="right" vertical="center"/>
      <protection locked="0"/>
    </xf>
    <xf numFmtId="165" fontId="7" fillId="13" borderId="1" xfId="0" applyNumberFormat="1" applyFont="1" applyFill="1" applyBorder="1" applyProtection="1">
      <protection locked="0"/>
    </xf>
    <xf numFmtId="0" fontId="10" fillId="13" borderId="1" xfId="0" applyNumberFormat="1" applyFont="1" applyFill="1" applyBorder="1" applyAlignment="1" applyProtection="1">
      <alignment horizontal="center" vertical="center"/>
      <protection locked="0"/>
    </xf>
    <xf numFmtId="0" fontId="0" fillId="6" borderId="8" xfId="0" applyFill="1" applyBorder="1" applyAlignment="1">
      <alignment horizontal="right" vertical="center"/>
    </xf>
    <xf numFmtId="0" fontId="7" fillId="6" borderId="8" xfId="0" applyFont="1" applyFill="1" applyBorder="1" applyAlignment="1">
      <alignment horizontal="right" vertical="center"/>
    </xf>
    <xf numFmtId="0" fontId="3" fillId="6" borderId="8" xfId="0" applyFont="1" applyFill="1" applyBorder="1" applyAlignment="1">
      <alignment horizontal="right" vertical="center"/>
    </xf>
    <xf numFmtId="0" fontId="3" fillId="10" borderId="8" xfId="0" applyFont="1" applyFill="1" applyBorder="1" applyAlignment="1">
      <alignment horizontal="right" vertical="center"/>
    </xf>
    <xf numFmtId="0" fontId="3" fillId="10" borderId="22" xfId="0" applyFont="1" applyFill="1" applyBorder="1" applyAlignment="1">
      <alignment horizontal="right" vertical="center"/>
    </xf>
    <xf numFmtId="0" fontId="17" fillId="10" borderId="8" xfId="0" applyFont="1" applyFill="1" applyBorder="1" applyAlignment="1">
      <alignment horizontal="right" vertical="center"/>
    </xf>
    <xf numFmtId="0" fontId="3" fillId="6" borderId="10" xfId="0" applyFont="1" applyFill="1" applyBorder="1" applyAlignment="1">
      <alignment horizontal="right" vertical="center" wrapText="1"/>
    </xf>
    <xf numFmtId="0" fontId="3" fillId="6" borderId="11" xfId="0" applyFont="1" applyFill="1" applyBorder="1" applyAlignment="1">
      <alignment horizontal="right" vertical="center"/>
    </xf>
    <xf numFmtId="10" fontId="1" fillId="5" borderId="0" xfId="0" applyNumberFormat="1" applyFont="1" applyFill="1" applyAlignment="1">
      <alignment horizontal="left" vertical="center"/>
    </xf>
    <xf numFmtId="0" fontId="10" fillId="5" borderId="0" xfId="0" applyFont="1" applyFill="1" applyAlignment="1">
      <alignment vertical="center"/>
    </xf>
    <xf numFmtId="0" fontId="19" fillId="17" borderId="0" xfId="0" applyFont="1" applyFill="1" applyAlignment="1" applyProtection="1">
      <alignment horizontal="right"/>
    </xf>
    <xf numFmtId="169" fontId="2" fillId="17" borderId="0" xfId="0" applyNumberFormat="1" applyFont="1" applyFill="1" applyProtection="1"/>
    <xf numFmtId="0" fontId="4" fillId="4" borderId="0" xfId="2" applyFill="1" applyAlignment="1" applyProtection="1"/>
    <xf numFmtId="8" fontId="1" fillId="0" borderId="0" xfId="0" applyNumberFormat="1" applyFont="1"/>
    <xf numFmtId="173" fontId="0" fillId="4" borderId="51" xfId="0" applyNumberFormat="1" applyFill="1" applyBorder="1" applyProtection="1"/>
    <xf numFmtId="169" fontId="2" fillId="7" borderId="16" xfId="0" applyNumberFormat="1" applyFont="1" applyFill="1" applyBorder="1" applyProtection="1">
      <protection locked="0"/>
    </xf>
    <xf numFmtId="169" fontId="1" fillId="13" borderId="0" xfId="0" applyNumberFormat="1" applyFont="1" applyFill="1"/>
    <xf numFmtId="167" fontId="29" fillId="17" borderId="51" xfId="1" applyFont="1" applyFill="1" applyBorder="1" applyProtection="1">
      <protection locked="0"/>
    </xf>
    <xf numFmtId="167" fontId="1" fillId="17" borderId="51" xfId="0" applyNumberFormat="1" applyFont="1" applyFill="1" applyBorder="1" applyProtection="1"/>
    <xf numFmtId="0" fontId="1" fillId="17" borderId="51" xfId="0" applyFont="1" applyFill="1" applyBorder="1" applyProtection="1"/>
    <xf numFmtId="167" fontId="29" fillId="17" borderId="53" xfId="1" applyFont="1" applyFill="1" applyBorder="1" applyProtection="1">
      <protection locked="0"/>
    </xf>
    <xf numFmtId="2" fontId="0" fillId="0" borderId="0" xfId="0" applyNumberFormat="1"/>
    <xf numFmtId="0" fontId="10" fillId="5" borderId="0" xfId="0" applyFont="1" applyFill="1" applyBorder="1" applyAlignment="1">
      <alignment horizontal="left"/>
    </xf>
    <xf numFmtId="0" fontId="0" fillId="0" borderId="0" xfId="0" applyAlignment="1">
      <alignment horizontal="left"/>
    </xf>
    <xf numFmtId="0" fontId="9" fillId="0" borderId="0" xfId="0" applyNumberFormat="1" applyFont="1" applyFill="1" applyAlignment="1">
      <alignment horizontal="center"/>
    </xf>
    <xf numFmtId="0" fontId="0" fillId="0" borderId="0" xfId="0" applyAlignment="1">
      <alignment horizontal="center"/>
    </xf>
    <xf numFmtId="0" fontId="10" fillId="5" borderId="2" xfId="0" applyFont="1" applyFill="1" applyBorder="1" applyAlignment="1">
      <alignment horizontal="left"/>
    </xf>
    <xf numFmtId="0" fontId="10" fillId="5" borderId="0" xfId="0" applyFont="1" applyFill="1" applyAlignment="1">
      <alignment horizontal="left"/>
    </xf>
    <xf numFmtId="0" fontId="1" fillId="7" borderId="17" xfId="0" applyFont="1" applyFill="1" applyBorder="1" applyAlignment="1">
      <alignment horizontal="center"/>
    </xf>
    <xf numFmtId="0" fontId="1" fillId="7" borderId="0" xfId="0" applyFont="1" applyFill="1" applyBorder="1" applyAlignment="1">
      <alignment horizontal="center"/>
    </xf>
    <xf numFmtId="0" fontId="30" fillId="4" borderId="0" xfId="2" applyFont="1" applyFill="1" applyAlignment="1" applyProtection="1"/>
    <xf numFmtId="0" fontId="19" fillId="0" borderId="0" xfId="0" applyFont="1" applyAlignment="1"/>
    <xf numFmtId="0" fontId="10" fillId="7" borderId="2" xfId="0" applyFont="1" applyFill="1" applyBorder="1" applyAlignment="1" applyProtection="1">
      <alignment horizontal="center" vertical="top"/>
    </xf>
    <xf numFmtId="0" fontId="10" fillId="7" borderId="2" xfId="0" applyFont="1" applyFill="1" applyBorder="1" applyAlignment="1">
      <alignment horizontal="center" vertical="top"/>
    </xf>
    <xf numFmtId="0" fontId="0" fillId="7" borderId="2" xfId="0" applyFill="1" applyBorder="1" applyAlignment="1">
      <alignment vertical="top"/>
    </xf>
    <xf numFmtId="0" fontId="19" fillId="4" borderId="0" xfId="0" applyFont="1" applyFill="1" applyAlignment="1"/>
    <xf numFmtId="0" fontId="2" fillId="7" borderId="0" xfId="0" applyFont="1" applyFill="1" applyBorder="1" applyAlignment="1" applyProtection="1">
      <alignment horizontal="left"/>
      <protection locked="0"/>
    </xf>
    <xf numFmtId="0" fontId="0" fillId="7" borderId="0" xfId="0" applyFill="1" applyBorder="1" applyAlignment="1" applyProtection="1">
      <alignment horizontal="left"/>
      <protection locked="0"/>
    </xf>
    <xf numFmtId="0" fontId="20" fillId="4" borderId="0" xfId="0" applyFont="1" applyFill="1" applyAlignment="1" applyProtection="1">
      <alignment horizontal="left" vertical="center" wrapText="1"/>
      <protection locked="0"/>
    </xf>
    <xf numFmtId="0" fontId="0" fillId="0" borderId="0" xfId="0" applyAlignment="1" applyProtection="1">
      <alignment horizontal="left" vertical="center" wrapText="1"/>
      <protection locked="0"/>
    </xf>
    <xf numFmtId="0" fontId="19" fillId="7" borderId="0" xfId="0" applyFont="1" applyFill="1" applyAlignment="1">
      <alignment horizontal="right"/>
    </xf>
    <xf numFmtId="0" fontId="19" fillId="7" borderId="0" xfId="0" applyFont="1" applyFill="1" applyBorder="1" applyAlignment="1" applyProtection="1">
      <alignment horizontal="right"/>
    </xf>
    <xf numFmtId="0" fontId="36" fillId="4" borderId="0" xfId="0" applyFont="1"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169" fontId="0" fillId="4" borderId="76" xfId="0" applyNumberFormat="1" applyFill="1" applyBorder="1" applyAlignment="1" applyProtection="1">
      <alignment horizontal="center"/>
    </xf>
    <xf numFmtId="169" fontId="0" fillId="4" borderId="77" xfId="0" applyNumberFormat="1" applyFill="1" applyBorder="1" applyAlignment="1" applyProtection="1">
      <alignment horizontal="center"/>
    </xf>
    <xf numFmtId="0" fontId="19" fillId="7" borderId="0" xfId="0" applyFont="1" applyFill="1" applyAlignment="1"/>
    <xf numFmtId="0" fontId="2" fillId="7" borderId="0" xfId="0" applyFont="1" applyFill="1" applyBorder="1" applyAlignment="1" applyProtection="1"/>
    <xf numFmtId="0" fontId="0" fillId="7" borderId="0" xfId="0" applyFill="1" applyBorder="1" applyAlignment="1"/>
    <xf numFmtId="0" fontId="10" fillId="7" borderId="0" xfId="0" applyFont="1" applyFill="1" applyBorder="1" applyAlignment="1" applyProtection="1">
      <alignment horizontal="left"/>
      <protection locked="0"/>
    </xf>
    <xf numFmtId="0" fontId="0" fillId="7" borderId="0" xfId="0" applyFill="1" applyAlignment="1" applyProtection="1">
      <alignment horizontal="left"/>
      <protection locked="0"/>
    </xf>
    <xf numFmtId="0" fontId="10" fillId="5" borderId="0" xfId="0" applyFont="1" applyFill="1" applyAlignment="1">
      <alignment horizontal="right"/>
    </xf>
    <xf numFmtId="0" fontId="0" fillId="5" borderId="0" xfId="0" applyFill="1" applyAlignment="1">
      <alignment horizontal="right"/>
    </xf>
    <xf numFmtId="0" fontId="2" fillId="22" borderId="0" xfId="0" applyFont="1" applyFill="1" applyAlignment="1">
      <alignment horizontal="center" vertical="center" wrapText="1"/>
    </xf>
    <xf numFmtId="0" fontId="54" fillId="13" borderId="65" xfId="0" applyFont="1" applyFill="1" applyBorder="1" applyAlignment="1">
      <alignment horizontal="left" vertical="top" wrapText="1"/>
    </xf>
    <xf numFmtId="0" fontId="0" fillId="0" borderId="66" xfId="0" applyBorder="1" applyAlignment="1">
      <alignment vertical="center" wrapText="1"/>
    </xf>
  </cellXfs>
  <cellStyles count="5">
    <cellStyle name="Euro" xfId="1" xr:uid="{00000000-0005-0000-0000-000000000000}"/>
    <cellStyle name="Link" xfId="2" builtinId="8"/>
    <cellStyle name="Standard" xfId="0" builtinId="0"/>
    <cellStyle name="Währung" xfId="3" builtinId="4"/>
    <cellStyle name="wochenende" xfId="4" xr:uid="{00000000-0005-0000-0000-000004000000}"/>
  </cellStyles>
  <dxfs count="14">
    <dxf>
      <fill>
        <patternFill>
          <bgColor rgb="FFFFFF00"/>
        </patternFill>
      </fill>
    </dxf>
    <dxf>
      <fill>
        <patternFill>
          <bgColor rgb="FFFFFF00"/>
        </patternFill>
      </fill>
    </dxf>
    <dxf>
      <font>
        <color theme="0"/>
      </font>
    </dxf>
    <dxf>
      <font>
        <color theme="0"/>
      </font>
    </dxf>
    <dxf>
      <font>
        <color theme="0"/>
      </font>
    </dxf>
    <dxf>
      <font>
        <color theme="0"/>
      </font>
    </dxf>
    <dxf>
      <fill>
        <patternFill>
          <bgColor indexed="9"/>
        </patternFill>
      </fill>
    </dxf>
    <dxf>
      <fill>
        <patternFill>
          <bgColor indexed="9"/>
        </patternFill>
      </fill>
    </dxf>
    <dxf>
      <font>
        <condense val="0"/>
        <extend val="0"/>
        <color indexed="42"/>
      </font>
    </dxf>
    <dxf>
      <font>
        <condense val="0"/>
        <extend val="0"/>
        <color indexed="8"/>
      </font>
    </dxf>
    <dxf>
      <font>
        <condense val="0"/>
        <extend val="0"/>
        <color indexed="10"/>
      </font>
      <fill>
        <patternFill>
          <bgColor indexed="13"/>
        </patternFill>
      </fill>
    </dxf>
    <dxf>
      <font>
        <condense val="0"/>
        <extend val="0"/>
        <color indexed="9"/>
      </font>
    </dxf>
    <dxf>
      <font>
        <b/>
        <i val="0"/>
        <condense val="0"/>
        <extend val="0"/>
        <color auto="1"/>
      </font>
    </dxf>
    <dxf>
      <font>
        <condense val="0"/>
        <extend val="0"/>
        <color indexed="10"/>
      </font>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E6E6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9CCFF"/>
      <rgbColor rgb="00CCEAFF"/>
      <rgbColor rgb="00CCFFCC"/>
      <rgbColor rgb="00FFFF99"/>
      <rgbColor rgb="00CCECFF"/>
      <rgbColor rgb="00FEB0B0"/>
      <rgbColor rgb="00DDDDDD"/>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AFAFAF"/>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drawing2.xml.rels><?xml version="1.0" encoding="UTF-8" standalone="yes"?>
<Relationships xmlns="http://schemas.openxmlformats.org/package/2006/relationships"><Relationship Id="rId1" Type="http://schemas.openxmlformats.org/officeDocument/2006/relationships/image" Target="../media/image19.emf"/></Relationships>
</file>

<file path=xl/drawings/_rels/drawing4.x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1.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3.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1</xdr:col>
      <xdr:colOff>3381375</xdr:colOff>
      <xdr:row>30</xdr:row>
      <xdr:rowOff>142875</xdr:rowOff>
    </xdr:from>
    <xdr:to>
      <xdr:col>3</xdr:col>
      <xdr:colOff>276225</xdr:colOff>
      <xdr:row>32</xdr:row>
      <xdr:rowOff>114300</xdr:rowOff>
    </xdr:to>
    <xdr:pic macro="[0]!Tabelle1.Hinweis_cmd_KlickenSieAuf">
      <xdr:nvPicPr>
        <xdr:cNvPr id="20232" name="Hinweis_cmd">
          <a:extLst>
            <a:ext uri="{FF2B5EF4-FFF2-40B4-BE49-F238E27FC236}">
              <a16:creationId xmlns:a16="http://schemas.microsoft.com/office/drawing/2014/main" id="{00000000-0008-0000-0000-0000084F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425" y="5257800"/>
          <a:ext cx="1476375" cy="2667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 uri="{53640926-AAD7-44D8-BBD7-CCE9431645EC}">
            <a14:shadowObscured xmlns:a14="http://schemas.microsoft.com/office/drawing/2010/main" val="1"/>
          </a:ext>
        </a:extLst>
      </xdr:spPr>
    </xdr:pic>
    <xdr:clientData/>
  </xdr:twoCellAnchor>
  <xdr:twoCellAnchor editAs="oneCell">
    <xdr:from>
      <xdr:col>1</xdr:col>
      <xdr:colOff>1524000</xdr:colOff>
      <xdr:row>31</xdr:row>
      <xdr:rowOff>0</xdr:rowOff>
    </xdr:from>
    <xdr:to>
      <xdr:col>1</xdr:col>
      <xdr:colOff>2466975</xdr:colOff>
      <xdr:row>32</xdr:row>
      <xdr:rowOff>104775</xdr:rowOff>
    </xdr:to>
    <xdr:pic macro="[0]!Tabelle1.JLohn_cmd_KlickenSieAuf">
      <xdr:nvPicPr>
        <xdr:cNvPr id="20233" name="JLohn_cmd">
          <a:extLst>
            <a:ext uri="{FF2B5EF4-FFF2-40B4-BE49-F238E27FC236}">
              <a16:creationId xmlns:a16="http://schemas.microsoft.com/office/drawing/2014/main" id="{00000000-0008-0000-0000-0000094F0000}"/>
            </a:ext>
          </a:extLst>
        </xdr:cNvPr>
        <xdr:cNvPicPr preferRelativeResize="0">
          <a:picLocks noChangeArrowheads="1" noChangeShapeType="1"/>
        </xdr:cNvPicPr>
      </xdr:nvPicPr>
      <xdr:blipFill>
        <a:blip xmlns:r="http://schemas.openxmlformats.org/officeDocument/2006/relationships" r:embed="rId2">
          <a:lum bright="-10000"/>
          <a:extLst>
            <a:ext uri="{28A0092B-C50C-407E-A947-70E740481C1C}">
              <a14:useLocalDpi xmlns:a14="http://schemas.microsoft.com/office/drawing/2010/main" val="0"/>
            </a:ext>
          </a:extLst>
        </a:blip>
        <a:srcRect/>
        <a:stretch>
          <a:fillRect/>
        </a:stretch>
      </xdr:blipFill>
      <xdr:spPr bwMode="auto">
        <a:xfrm>
          <a:off x="4210050" y="5257800"/>
          <a:ext cx="942975" cy="257175"/>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 uri="{53640926-AAD7-44D8-BBD7-CCE9431645EC}">
            <a14:shadowObscured xmlns:a14="http://schemas.microsoft.com/office/drawing/2010/main" val="1"/>
          </a:ext>
        </a:extLst>
      </xdr:spPr>
    </xdr:pic>
    <xdr:clientData/>
  </xdr:twoCellAnchor>
  <xdr:twoCellAnchor>
    <xdr:from>
      <xdr:col>1</xdr:col>
      <xdr:colOff>9525</xdr:colOff>
      <xdr:row>31</xdr:row>
      <xdr:rowOff>0</xdr:rowOff>
    </xdr:from>
    <xdr:to>
      <xdr:col>1</xdr:col>
      <xdr:colOff>1419225</xdr:colOff>
      <xdr:row>32</xdr:row>
      <xdr:rowOff>114300</xdr:rowOff>
    </xdr:to>
    <xdr:pic macro="[0]!Tabelle1.Gehaltsabrechnung_cmd_KlickenSieAuf">
      <xdr:nvPicPr>
        <xdr:cNvPr id="20234" name="Gehaltsabrechnung_cmd">
          <a:extLst>
            <a:ext uri="{FF2B5EF4-FFF2-40B4-BE49-F238E27FC236}">
              <a16:creationId xmlns:a16="http://schemas.microsoft.com/office/drawing/2014/main" id="{00000000-0008-0000-0000-00000A4F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95575" y="5257800"/>
          <a:ext cx="1409700" cy="2667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 uri="{53640926-AAD7-44D8-BBD7-CCE9431645EC}">
            <a14:shadowObscured xmlns:a14="http://schemas.microsoft.com/office/drawing/2010/main" val="1"/>
          </a:ext>
        </a:extLst>
      </xdr:spPr>
    </xdr:pic>
    <xdr:clientData/>
  </xdr:twoCellAnchor>
  <mc:AlternateContent xmlns:mc="http://schemas.openxmlformats.org/markup-compatibility/2006">
    <mc:Choice xmlns:a14="http://schemas.microsoft.com/office/drawing/2010/main" Requires="a14">
      <xdr:twoCellAnchor editAs="absolute">
        <xdr:from>
          <xdr:col>1</xdr:col>
          <xdr:colOff>19050</xdr:colOff>
          <xdr:row>28</xdr:row>
          <xdr:rowOff>180975</xdr:rowOff>
        </xdr:from>
        <xdr:to>
          <xdr:col>1</xdr:col>
          <xdr:colOff>2762250</xdr:colOff>
          <xdr:row>29</xdr:row>
          <xdr:rowOff>190500</xdr:rowOff>
        </xdr:to>
        <xdr:sp macro="" textlink="">
          <xdr:nvSpPr>
            <xdr:cNvPr id="19601" name="GleitzonenBox" hidden="1">
              <a:extLst>
                <a:ext uri="{63B3BB69-23CF-44E3-9099-C40C66FF867C}">
                  <a14:compatExt spid="_x0000_s19601"/>
                </a:ext>
                <a:ext uri="{FF2B5EF4-FFF2-40B4-BE49-F238E27FC236}">
                  <a16:creationId xmlns:a16="http://schemas.microsoft.com/office/drawing/2014/main" id="{00000000-0008-0000-0000-0000914C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3105150</xdr:colOff>
          <xdr:row>28</xdr:row>
          <xdr:rowOff>19050</xdr:rowOff>
        </xdr:from>
        <xdr:to>
          <xdr:col>3</xdr:col>
          <xdr:colOff>247650</xdr:colOff>
          <xdr:row>28</xdr:row>
          <xdr:rowOff>209550</xdr:rowOff>
        </xdr:to>
        <xdr:sp macro="" textlink="">
          <xdr:nvSpPr>
            <xdr:cNvPr id="19602" name="RenteBox" hidden="1">
              <a:extLst>
                <a:ext uri="{63B3BB69-23CF-44E3-9099-C40C66FF867C}">
                  <a14:compatExt spid="_x0000_s19602"/>
                </a:ext>
                <a:ext uri="{FF2B5EF4-FFF2-40B4-BE49-F238E27FC236}">
                  <a16:creationId xmlns:a16="http://schemas.microsoft.com/office/drawing/2014/main" id="{00000000-0008-0000-0000-0000924C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3095625</xdr:colOff>
          <xdr:row>28</xdr:row>
          <xdr:rowOff>219075</xdr:rowOff>
        </xdr:from>
        <xdr:to>
          <xdr:col>3</xdr:col>
          <xdr:colOff>238125</xdr:colOff>
          <xdr:row>29</xdr:row>
          <xdr:rowOff>190500</xdr:rowOff>
        </xdr:to>
        <xdr:sp macro="" textlink="">
          <xdr:nvSpPr>
            <xdr:cNvPr id="19626" name="AN_LSt" hidden="1">
              <a:extLst>
                <a:ext uri="{63B3BB69-23CF-44E3-9099-C40C66FF867C}">
                  <a14:compatExt spid="_x0000_s19626"/>
                </a:ext>
                <a:ext uri="{FF2B5EF4-FFF2-40B4-BE49-F238E27FC236}">
                  <a16:creationId xmlns:a16="http://schemas.microsoft.com/office/drawing/2014/main" id="{00000000-0008-0000-0000-0000AA4C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19050</xdr:rowOff>
        </xdr:from>
        <xdr:to>
          <xdr:col>2</xdr:col>
          <xdr:colOff>1019175</xdr:colOff>
          <xdr:row>11</xdr:row>
          <xdr:rowOff>238125</xdr:rowOff>
        </xdr:to>
        <xdr:sp macro="" textlink="">
          <xdr:nvSpPr>
            <xdr:cNvPr id="19629" name="ComboBox1" hidden="1">
              <a:extLst>
                <a:ext uri="{63B3BB69-23CF-44E3-9099-C40C66FF867C}">
                  <a14:compatExt spid="_x0000_s19629"/>
                </a:ext>
                <a:ext uri="{FF2B5EF4-FFF2-40B4-BE49-F238E27FC236}">
                  <a16:creationId xmlns:a16="http://schemas.microsoft.com/office/drawing/2014/main" id="{00000000-0008-0000-0000-0000A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xdr:row>
          <xdr:rowOff>28575</xdr:rowOff>
        </xdr:from>
        <xdr:to>
          <xdr:col>2</xdr:col>
          <xdr:colOff>1009650</xdr:colOff>
          <xdr:row>13</xdr:row>
          <xdr:rowOff>247650</xdr:rowOff>
        </xdr:to>
        <xdr:sp macro="" textlink="">
          <xdr:nvSpPr>
            <xdr:cNvPr id="19631" name="ComboBox2" hidden="1">
              <a:extLst>
                <a:ext uri="{63B3BB69-23CF-44E3-9099-C40C66FF867C}">
                  <a14:compatExt spid="_x0000_s19631"/>
                </a:ext>
                <a:ext uri="{FF2B5EF4-FFF2-40B4-BE49-F238E27FC236}">
                  <a16:creationId xmlns:a16="http://schemas.microsoft.com/office/drawing/2014/main" id="{00000000-0008-0000-0000-0000A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19050</xdr:rowOff>
        </xdr:from>
        <xdr:to>
          <xdr:col>2</xdr:col>
          <xdr:colOff>1009650</xdr:colOff>
          <xdr:row>15</xdr:row>
          <xdr:rowOff>0</xdr:rowOff>
        </xdr:to>
        <xdr:sp macro="" textlink="">
          <xdr:nvSpPr>
            <xdr:cNvPr id="19633" name="ComboBox3" hidden="1">
              <a:extLst>
                <a:ext uri="{63B3BB69-23CF-44E3-9099-C40C66FF867C}">
                  <a14:compatExt spid="_x0000_s19633"/>
                </a:ext>
                <a:ext uri="{FF2B5EF4-FFF2-40B4-BE49-F238E27FC236}">
                  <a16:creationId xmlns:a16="http://schemas.microsoft.com/office/drawing/2014/main" id="{00000000-0008-0000-0000-0000B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xdr:row>
          <xdr:rowOff>19050</xdr:rowOff>
        </xdr:from>
        <xdr:to>
          <xdr:col>2</xdr:col>
          <xdr:colOff>1019175</xdr:colOff>
          <xdr:row>16</xdr:row>
          <xdr:rowOff>0</xdr:rowOff>
        </xdr:to>
        <xdr:sp macro="" textlink="">
          <xdr:nvSpPr>
            <xdr:cNvPr id="19635" name="ComboBox4" hidden="1">
              <a:extLst>
                <a:ext uri="{63B3BB69-23CF-44E3-9099-C40C66FF867C}">
                  <a14:compatExt spid="_x0000_s19635"/>
                </a:ext>
                <a:ext uri="{FF2B5EF4-FFF2-40B4-BE49-F238E27FC236}">
                  <a16:creationId xmlns:a16="http://schemas.microsoft.com/office/drawing/2014/main" id="{00000000-0008-0000-0000-0000B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19</xdr:row>
          <xdr:rowOff>9525</xdr:rowOff>
        </xdr:from>
        <xdr:to>
          <xdr:col>2</xdr:col>
          <xdr:colOff>1019175</xdr:colOff>
          <xdr:row>20</xdr:row>
          <xdr:rowOff>0</xdr:rowOff>
        </xdr:to>
        <xdr:sp macro="" textlink="">
          <xdr:nvSpPr>
            <xdr:cNvPr id="19637" name="ComboBox5" hidden="1">
              <a:extLst>
                <a:ext uri="{63B3BB69-23CF-44E3-9099-C40C66FF867C}">
                  <a14:compatExt spid="_x0000_s19637"/>
                </a:ext>
                <a:ext uri="{FF2B5EF4-FFF2-40B4-BE49-F238E27FC236}">
                  <a16:creationId xmlns:a16="http://schemas.microsoft.com/office/drawing/2014/main" id="{00000000-0008-0000-0000-0000B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20</xdr:row>
          <xdr:rowOff>28575</xdr:rowOff>
        </xdr:from>
        <xdr:to>
          <xdr:col>2</xdr:col>
          <xdr:colOff>1019175</xdr:colOff>
          <xdr:row>20</xdr:row>
          <xdr:rowOff>247650</xdr:rowOff>
        </xdr:to>
        <xdr:sp macro="" textlink="">
          <xdr:nvSpPr>
            <xdr:cNvPr id="19639" name="ComboBox6" hidden="1">
              <a:extLst>
                <a:ext uri="{63B3BB69-23CF-44E3-9099-C40C66FF867C}">
                  <a14:compatExt spid="_x0000_s19639"/>
                </a:ext>
                <a:ext uri="{FF2B5EF4-FFF2-40B4-BE49-F238E27FC236}">
                  <a16:creationId xmlns:a16="http://schemas.microsoft.com/office/drawing/2014/main" id="{00000000-0008-0000-0000-0000B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xdr:row>
          <xdr:rowOff>28575</xdr:rowOff>
        </xdr:from>
        <xdr:to>
          <xdr:col>2</xdr:col>
          <xdr:colOff>1019175</xdr:colOff>
          <xdr:row>21</xdr:row>
          <xdr:rowOff>247650</xdr:rowOff>
        </xdr:to>
        <xdr:sp macro="" textlink="">
          <xdr:nvSpPr>
            <xdr:cNvPr id="19642" name="ComboBox7" hidden="1">
              <a:extLst>
                <a:ext uri="{63B3BB69-23CF-44E3-9099-C40C66FF867C}">
                  <a14:compatExt spid="_x0000_s19642"/>
                </a:ext>
                <a:ext uri="{FF2B5EF4-FFF2-40B4-BE49-F238E27FC236}">
                  <a16:creationId xmlns:a16="http://schemas.microsoft.com/office/drawing/2014/main" id="{00000000-0008-0000-0000-0000B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xdr:row>
          <xdr:rowOff>38100</xdr:rowOff>
        </xdr:from>
        <xdr:to>
          <xdr:col>2</xdr:col>
          <xdr:colOff>1019175</xdr:colOff>
          <xdr:row>22</xdr:row>
          <xdr:rowOff>257175</xdr:rowOff>
        </xdr:to>
        <xdr:sp macro="" textlink="">
          <xdr:nvSpPr>
            <xdr:cNvPr id="19644" name="ComboBox8" hidden="1">
              <a:extLst>
                <a:ext uri="{63B3BB69-23CF-44E3-9099-C40C66FF867C}">
                  <a14:compatExt spid="_x0000_s19644"/>
                </a:ext>
                <a:ext uri="{FF2B5EF4-FFF2-40B4-BE49-F238E27FC236}">
                  <a16:creationId xmlns:a16="http://schemas.microsoft.com/office/drawing/2014/main" id="{00000000-0008-0000-0000-0000B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23</xdr:row>
          <xdr:rowOff>19050</xdr:rowOff>
        </xdr:from>
        <xdr:to>
          <xdr:col>2</xdr:col>
          <xdr:colOff>1019175</xdr:colOff>
          <xdr:row>23</xdr:row>
          <xdr:rowOff>238125</xdr:rowOff>
        </xdr:to>
        <xdr:sp macro="" textlink="">
          <xdr:nvSpPr>
            <xdr:cNvPr id="19646" name="ComboBox9" hidden="1">
              <a:extLst>
                <a:ext uri="{63B3BB69-23CF-44E3-9099-C40C66FF867C}">
                  <a14:compatExt spid="_x0000_s19646"/>
                </a:ext>
                <a:ext uri="{FF2B5EF4-FFF2-40B4-BE49-F238E27FC236}">
                  <a16:creationId xmlns:a16="http://schemas.microsoft.com/office/drawing/2014/main" id="{00000000-0008-0000-0000-0000B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68632</xdr:colOff>
      <xdr:row>28</xdr:row>
      <xdr:rowOff>19051</xdr:rowOff>
    </xdr:from>
    <xdr:to>
      <xdr:col>2</xdr:col>
      <xdr:colOff>2054</xdr:colOff>
      <xdr:row>36</xdr:row>
      <xdr:rowOff>91472</xdr:rowOff>
    </xdr:to>
    <xdr:sp macro="" textlink="">
      <xdr:nvSpPr>
        <xdr:cNvPr id="28674" name="Text 2">
          <a:extLst>
            <a:ext uri="{FF2B5EF4-FFF2-40B4-BE49-F238E27FC236}">
              <a16:creationId xmlns:a16="http://schemas.microsoft.com/office/drawing/2014/main" id="{00000000-0008-0000-0100-000002700000}"/>
            </a:ext>
          </a:extLst>
        </xdr:cNvPr>
        <xdr:cNvSpPr txBox="1">
          <a:spLocks noChangeArrowheads="1"/>
        </xdr:cNvSpPr>
      </xdr:nvSpPr>
      <xdr:spPr bwMode="auto">
        <a:xfrm>
          <a:off x="333375" y="4629151"/>
          <a:ext cx="581025" cy="1209674"/>
        </a:xfrm>
        <a:prstGeom prst="rect">
          <a:avLst/>
        </a:prstGeom>
        <a:solidFill>
          <a:srgbClr val="FFFFFF"/>
        </a:solidFill>
        <a:ln w="1">
          <a:noFill/>
          <a:miter lim="800000"/>
          <a:headEnd/>
          <a:tailEnd/>
        </a:ln>
      </xdr:spPr>
      <xdr:txBody>
        <a:bodyPr vertOverflow="clip" vert="vert270" wrap="square" lIns="27432" tIns="22860" rIns="27432" bIns="22860" anchor="ctr" upright="1"/>
        <a:lstStyle/>
        <a:p>
          <a:pPr algn="ctr" rtl="0">
            <a:lnSpc>
              <a:spcPts val="1100"/>
            </a:lnSpc>
            <a:defRPr sz="1000"/>
          </a:pPr>
          <a:r>
            <a:rPr lang="de-DE" sz="1000" b="0" i="0" strike="noStrike">
              <a:solidFill>
                <a:srgbClr val="000000"/>
              </a:solidFill>
              <a:latin typeface="Arial"/>
              <a:cs typeface="Arial"/>
            </a:rPr>
            <a:t> </a:t>
          </a:r>
          <a:r>
            <a:rPr lang="de-DE" sz="900" b="0" i="0" strike="noStrike">
              <a:solidFill>
                <a:srgbClr val="000000"/>
              </a:solidFill>
              <a:latin typeface="Arial"/>
              <a:cs typeface="Arial"/>
            </a:rPr>
            <a:t>Abzüge</a:t>
          </a:r>
        </a:p>
        <a:p>
          <a:pPr algn="ctr" rtl="0">
            <a:defRPr sz="1000"/>
          </a:pPr>
          <a:r>
            <a:rPr lang="de-DE" sz="900" b="0" i="0" strike="noStrike">
              <a:solidFill>
                <a:srgbClr val="000000"/>
              </a:solidFill>
              <a:latin typeface="Arial"/>
              <a:cs typeface="Arial"/>
            </a:rPr>
            <a:t>Arbeitnehmeranteil</a:t>
          </a:r>
        </a:p>
        <a:p>
          <a:pPr algn="ctr" rtl="0">
            <a:lnSpc>
              <a:spcPts val="1200"/>
            </a:lnSpc>
            <a:defRPr sz="1000"/>
          </a:pPr>
          <a:endParaRPr lang="de-DE" sz="1200" b="0" i="0" strike="noStrike">
            <a:solidFill>
              <a:srgbClr val="000000"/>
            </a:solidFill>
            <a:latin typeface="Arial"/>
            <a:cs typeface="Arial"/>
          </a:endParaRPr>
        </a:p>
      </xdr:txBody>
    </xdr:sp>
    <xdr:clientData/>
  </xdr:twoCellAnchor>
  <xdr:twoCellAnchor>
    <xdr:from>
      <xdr:col>1</xdr:col>
      <xdr:colOff>68632</xdr:colOff>
      <xdr:row>40</xdr:row>
      <xdr:rowOff>76200</xdr:rowOff>
    </xdr:from>
    <xdr:to>
      <xdr:col>1</xdr:col>
      <xdr:colOff>528795</xdr:colOff>
      <xdr:row>50</xdr:row>
      <xdr:rowOff>0</xdr:rowOff>
    </xdr:to>
    <xdr:sp macro="" textlink="">
      <xdr:nvSpPr>
        <xdr:cNvPr id="28675" name="Text 3">
          <a:extLst>
            <a:ext uri="{FF2B5EF4-FFF2-40B4-BE49-F238E27FC236}">
              <a16:creationId xmlns:a16="http://schemas.microsoft.com/office/drawing/2014/main" id="{00000000-0008-0000-0100-000003700000}"/>
            </a:ext>
          </a:extLst>
        </xdr:cNvPr>
        <xdr:cNvSpPr txBox="1">
          <a:spLocks noChangeArrowheads="1"/>
        </xdr:cNvSpPr>
      </xdr:nvSpPr>
      <xdr:spPr bwMode="auto">
        <a:xfrm>
          <a:off x="314325" y="6305550"/>
          <a:ext cx="466725" cy="1485900"/>
        </a:xfrm>
        <a:prstGeom prst="rect">
          <a:avLst/>
        </a:prstGeom>
        <a:solidFill>
          <a:srgbClr val="FFFFFF"/>
        </a:solidFill>
        <a:ln w="1">
          <a:noFill/>
          <a:miter lim="800000"/>
          <a:headEnd/>
          <a:tailEnd/>
        </a:ln>
      </xdr:spPr>
      <xdr:txBody>
        <a:bodyPr vertOverflow="clip" vert="vert270" wrap="square" lIns="27432" tIns="22860" rIns="27432" bIns="22860" anchor="ctr" upright="1"/>
        <a:lstStyle/>
        <a:p>
          <a:pPr algn="ctr" rtl="0">
            <a:defRPr sz="1000"/>
          </a:pPr>
          <a:r>
            <a:rPr lang="de-DE" sz="1000" b="0" i="0" strike="noStrike">
              <a:solidFill>
                <a:srgbClr val="000000"/>
              </a:solidFill>
              <a:latin typeface="Arial"/>
              <a:cs typeface="Arial"/>
            </a:rPr>
            <a:t>Ste</a:t>
          </a:r>
          <a:r>
            <a:rPr lang="de-DE" sz="900" b="0" i="0" strike="noStrike">
              <a:solidFill>
                <a:srgbClr val="000000"/>
              </a:solidFill>
              <a:latin typeface="Arial"/>
              <a:cs typeface="Arial"/>
            </a:rPr>
            <a:t>uerfreie Bezüge</a:t>
          </a:r>
        </a:p>
      </xdr:txBody>
    </xdr:sp>
    <xdr:clientData/>
  </xdr:twoCellAnchor>
  <xdr:twoCellAnchor>
    <xdr:from>
      <xdr:col>5</xdr:col>
      <xdr:colOff>366113</xdr:colOff>
      <xdr:row>57</xdr:row>
      <xdr:rowOff>9525</xdr:rowOff>
    </xdr:from>
    <xdr:to>
      <xdr:col>6</xdr:col>
      <xdr:colOff>962026</xdr:colOff>
      <xdr:row>60</xdr:row>
      <xdr:rowOff>85725</xdr:rowOff>
    </xdr:to>
    <xdr:sp macro="" textlink="">
      <xdr:nvSpPr>
        <xdr:cNvPr id="28676" name="stemp">
          <a:extLst>
            <a:ext uri="{FF2B5EF4-FFF2-40B4-BE49-F238E27FC236}">
              <a16:creationId xmlns:a16="http://schemas.microsoft.com/office/drawing/2014/main" id="{00000000-0008-0000-0100-000004700000}"/>
            </a:ext>
          </a:extLst>
        </xdr:cNvPr>
        <xdr:cNvSpPr txBox="1">
          <a:spLocks noChangeArrowheads="1"/>
        </xdr:cNvSpPr>
      </xdr:nvSpPr>
      <xdr:spPr bwMode="auto">
        <a:xfrm>
          <a:off x="4442813" y="9029700"/>
          <a:ext cx="1634138" cy="8286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800" b="0" i="0" strike="noStrike">
              <a:solidFill>
                <a:srgbClr val="000000"/>
              </a:solidFill>
              <a:latin typeface="Arial"/>
              <a:cs typeface="Arial"/>
            </a:rPr>
            <a:t>Firmenadresse/-stempel</a:t>
          </a:r>
        </a:p>
      </xdr:txBody>
    </xdr:sp>
    <xdr:clientData/>
  </xdr:twoCellAnchor>
  <xdr:twoCellAnchor>
    <xdr:from>
      <xdr:col>1</xdr:col>
      <xdr:colOff>106780</xdr:colOff>
      <xdr:row>14</xdr:row>
      <xdr:rowOff>76200</xdr:rowOff>
    </xdr:from>
    <xdr:to>
      <xdr:col>1</xdr:col>
      <xdr:colOff>451605</xdr:colOff>
      <xdr:row>25</xdr:row>
      <xdr:rowOff>74296</xdr:rowOff>
    </xdr:to>
    <xdr:sp macro="" textlink="">
      <xdr:nvSpPr>
        <xdr:cNvPr id="28739" name="Text 1">
          <a:extLst>
            <a:ext uri="{FF2B5EF4-FFF2-40B4-BE49-F238E27FC236}">
              <a16:creationId xmlns:a16="http://schemas.microsoft.com/office/drawing/2014/main" id="{00000000-0008-0000-0100-000043700000}"/>
            </a:ext>
          </a:extLst>
        </xdr:cNvPr>
        <xdr:cNvSpPr txBox="1">
          <a:spLocks noChangeArrowheads="1"/>
        </xdr:cNvSpPr>
      </xdr:nvSpPr>
      <xdr:spPr bwMode="auto">
        <a:xfrm>
          <a:off x="361950" y="2533650"/>
          <a:ext cx="342900" cy="1771650"/>
        </a:xfrm>
        <a:prstGeom prst="rect">
          <a:avLst/>
        </a:prstGeom>
        <a:solidFill>
          <a:srgbClr val="FFFFFF"/>
        </a:solidFill>
        <a:ln w="1">
          <a:noFill/>
          <a:miter lim="800000"/>
          <a:headEnd/>
          <a:tailEnd/>
        </a:ln>
      </xdr:spPr>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Steuerpflichtiges Brutto</a:t>
          </a:r>
        </a:p>
      </xdr:txBody>
    </xdr:sp>
    <xdr:clientData/>
  </xdr:twoCellAnchor>
  <xdr:twoCellAnchor>
    <xdr:from>
      <xdr:col>9</xdr:col>
      <xdr:colOff>118260</xdr:colOff>
      <xdr:row>16</xdr:row>
      <xdr:rowOff>13163</xdr:rowOff>
    </xdr:from>
    <xdr:to>
      <xdr:col>12</xdr:col>
      <xdr:colOff>66883</xdr:colOff>
      <xdr:row>20</xdr:row>
      <xdr:rowOff>76200</xdr:rowOff>
    </xdr:to>
    <xdr:sp macro="[0]!hinweis" textlink="">
      <xdr:nvSpPr>
        <xdr:cNvPr id="28749" name="Text 1">
          <a:extLst>
            <a:ext uri="{FF2B5EF4-FFF2-40B4-BE49-F238E27FC236}">
              <a16:creationId xmlns:a16="http://schemas.microsoft.com/office/drawing/2014/main" id="{00000000-0008-0000-0100-00004D700000}"/>
            </a:ext>
          </a:extLst>
        </xdr:cNvPr>
        <xdr:cNvSpPr txBox="1">
          <a:spLocks noChangeArrowheads="1"/>
        </xdr:cNvSpPr>
      </xdr:nvSpPr>
      <xdr:spPr bwMode="auto">
        <a:xfrm>
          <a:off x="7852560" y="3175463"/>
          <a:ext cx="3129973" cy="739312"/>
        </a:xfrm>
        <a:prstGeom prst="rect">
          <a:avLst/>
        </a:prstGeom>
        <a:solidFill>
          <a:srgbClr val="FFFFFF"/>
        </a:solidFill>
        <a:ln w="1">
          <a:noFill/>
          <a:miter lim="800000"/>
          <a:headEnd/>
          <a:tailEnd/>
        </a:ln>
      </xdr:spPr>
      <xdr:txBody>
        <a:bodyPr vertOverflow="clip" wrap="square" lIns="27432" tIns="22860" rIns="27432" bIns="22860" anchor="ctr" upright="1"/>
        <a:lstStyle/>
        <a:p>
          <a:pPr algn="l" rtl="1">
            <a:defRPr sz="1000"/>
          </a:pPr>
          <a:r>
            <a:rPr lang="de-DE" sz="900" b="0" i="1" strike="noStrike">
              <a:solidFill>
                <a:srgbClr val="000000"/>
              </a:solidFill>
              <a:latin typeface="Arial"/>
              <a:cs typeface="Arial"/>
            </a:rPr>
            <a:t>jeweilige Lohnform auswählen</a:t>
          </a:r>
          <a:r>
            <a:rPr lang="de-DE" sz="900" b="1" i="0" strike="noStrike">
              <a:solidFill>
                <a:srgbClr val="000000"/>
              </a:solidFill>
              <a:latin typeface="Arial"/>
              <a:cs typeface="Arial"/>
            </a:rPr>
            <a:t>:</a:t>
          </a:r>
        </a:p>
        <a:p>
          <a:pPr algn="l" rtl="1">
            <a:defRPr sz="1000"/>
          </a:pPr>
          <a:r>
            <a:rPr lang="de-DE" sz="900" b="1" i="0" strike="noStrike">
              <a:solidFill>
                <a:srgbClr val="000000"/>
              </a:solidFill>
              <a:latin typeface="Arial"/>
              <a:cs typeface="Arial"/>
            </a:rPr>
            <a:t>L = laufende monatliche Zahlung</a:t>
          </a:r>
        </a:p>
        <a:p>
          <a:pPr algn="l" rtl="1">
            <a:defRPr sz="1000"/>
          </a:pPr>
          <a:r>
            <a:rPr lang="de-DE" sz="900" b="1" i="0" strike="noStrike">
              <a:solidFill>
                <a:srgbClr val="000000"/>
              </a:solidFill>
              <a:latin typeface="Arial"/>
              <a:cs typeface="Arial"/>
            </a:rPr>
            <a:t>E = Einmalzahlung</a:t>
          </a:r>
        </a:p>
        <a:p>
          <a:pPr algn="l" rtl="1">
            <a:defRPr sz="1000"/>
          </a:pPr>
          <a:r>
            <a:rPr lang="de-DE" sz="900" b="1" i="0" strike="noStrike">
              <a:solidFill>
                <a:srgbClr val="000000"/>
              </a:solidFill>
              <a:latin typeface="Arial"/>
              <a:cs typeface="Arial"/>
            </a:rPr>
            <a:t>LgV = laufender monatlicher geldwerter Vorteil</a:t>
          </a:r>
        </a:p>
        <a:p>
          <a:pPr algn="l" rtl="1">
            <a:defRPr sz="1000"/>
          </a:pPr>
          <a:r>
            <a:rPr lang="de-DE" sz="900" b="1" i="0" strike="noStrike">
              <a:solidFill>
                <a:srgbClr val="000000"/>
              </a:solidFill>
              <a:latin typeface="Arial"/>
              <a:cs typeface="Arial"/>
            </a:rPr>
            <a:t>EgV = einmaliger geldwerter Vorteil</a:t>
          </a:r>
        </a:p>
        <a:p>
          <a:pPr algn="l" rtl="1">
            <a:defRPr sz="1000"/>
          </a:pPr>
          <a:endParaRPr lang="de-DE" sz="1000" b="1" i="0" strike="noStrike">
            <a:solidFill>
              <a:srgbClr val="000000"/>
            </a:solidFill>
            <a:latin typeface="Arial"/>
            <a:cs typeface="Arial"/>
          </a:endParaRPr>
        </a:p>
      </xdr:txBody>
    </xdr:sp>
    <xdr:clientData/>
  </xdr:twoCellAnchor>
  <xdr:twoCellAnchor>
    <xdr:from>
      <xdr:col>8</xdr:col>
      <xdr:colOff>76200</xdr:colOff>
      <xdr:row>0</xdr:row>
      <xdr:rowOff>80963</xdr:rowOff>
    </xdr:from>
    <xdr:to>
      <xdr:col>9</xdr:col>
      <xdr:colOff>80963</xdr:colOff>
      <xdr:row>2</xdr:row>
      <xdr:rowOff>0</xdr:rowOff>
    </xdr:to>
    <xdr:sp macro="[0]!hinweis" textlink="">
      <xdr:nvSpPr>
        <xdr:cNvPr id="53874" name="Rectangle 38">
          <a:extLst>
            <a:ext uri="{FF2B5EF4-FFF2-40B4-BE49-F238E27FC236}">
              <a16:creationId xmlns:a16="http://schemas.microsoft.com/office/drawing/2014/main" id="{00000000-0008-0000-0100-000072D20000}"/>
            </a:ext>
          </a:extLst>
        </xdr:cNvPr>
        <xdr:cNvSpPr>
          <a:spLocks noChangeArrowheads="1"/>
        </xdr:cNvSpPr>
      </xdr:nvSpPr>
      <xdr:spPr bwMode="auto">
        <a:xfrm>
          <a:off x="7874794" y="80963"/>
          <a:ext cx="1350169" cy="6334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628650</xdr:colOff>
      <xdr:row>40</xdr:row>
      <xdr:rowOff>28575</xdr:rowOff>
    </xdr:from>
    <xdr:to>
      <xdr:col>2</xdr:col>
      <xdr:colOff>1114425</xdr:colOff>
      <xdr:row>48</xdr:row>
      <xdr:rowOff>19051</xdr:rowOff>
    </xdr:to>
    <xdr:sp macro="[0]!hinweis" textlink="">
      <xdr:nvSpPr>
        <xdr:cNvPr id="53875" name="Rectangle 38">
          <a:extLst>
            <a:ext uri="{FF2B5EF4-FFF2-40B4-BE49-F238E27FC236}">
              <a16:creationId xmlns:a16="http://schemas.microsoft.com/office/drawing/2014/main" id="{00000000-0008-0000-0100-000073D20000}"/>
            </a:ext>
          </a:extLst>
        </xdr:cNvPr>
        <xdr:cNvSpPr>
          <a:spLocks noChangeArrowheads="1"/>
        </xdr:cNvSpPr>
      </xdr:nvSpPr>
      <xdr:spPr bwMode="auto">
        <a:xfrm>
          <a:off x="1400175" y="6838950"/>
          <a:ext cx="485775" cy="1228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114300</xdr:colOff>
      <xdr:row>37</xdr:row>
      <xdr:rowOff>152399</xdr:rowOff>
    </xdr:from>
    <xdr:to>
      <xdr:col>7</xdr:col>
      <xdr:colOff>19050</xdr:colOff>
      <xdr:row>43</xdr:row>
      <xdr:rowOff>76200</xdr:rowOff>
    </xdr:to>
    <xdr:sp macro="[0]!hinweis" textlink="">
      <xdr:nvSpPr>
        <xdr:cNvPr id="53876" name="Rectangle 38">
          <a:extLst>
            <a:ext uri="{FF2B5EF4-FFF2-40B4-BE49-F238E27FC236}">
              <a16:creationId xmlns:a16="http://schemas.microsoft.com/office/drawing/2014/main" id="{00000000-0008-0000-0100-000074D20000}"/>
            </a:ext>
          </a:extLst>
        </xdr:cNvPr>
        <xdr:cNvSpPr>
          <a:spLocks noChangeArrowheads="1"/>
        </xdr:cNvSpPr>
      </xdr:nvSpPr>
      <xdr:spPr bwMode="auto">
        <a:xfrm>
          <a:off x="4381500" y="6848474"/>
          <a:ext cx="2019300" cy="685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1143000</xdr:colOff>
      <xdr:row>52</xdr:row>
      <xdr:rowOff>19050</xdr:rowOff>
    </xdr:from>
    <xdr:to>
      <xdr:col>5</xdr:col>
      <xdr:colOff>904875</xdr:colOff>
      <xdr:row>56</xdr:row>
      <xdr:rowOff>9525</xdr:rowOff>
    </xdr:to>
    <xdr:sp macro="[0]!hinweis" textlink="">
      <xdr:nvSpPr>
        <xdr:cNvPr id="53877" name="Rectangle 38">
          <a:extLst>
            <a:ext uri="{FF2B5EF4-FFF2-40B4-BE49-F238E27FC236}">
              <a16:creationId xmlns:a16="http://schemas.microsoft.com/office/drawing/2014/main" id="{00000000-0008-0000-0100-000075D20000}"/>
            </a:ext>
          </a:extLst>
        </xdr:cNvPr>
        <xdr:cNvSpPr>
          <a:spLocks noChangeArrowheads="1"/>
        </xdr:cNvSpPr>
      </xdr:nvSpPr>
      <xdr:spPr bwMode="auto">
        <a:xfrm>
          <a:off x="3981450" y="8201025"/>
          <a:ext cx="10001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400050</xdr:colOff>
      <xdr:row>70</xdr:row>
      <xdr:rowOff>57150</xdr:rowOff>
    </xdr:from>
    <xdr:to>
      <xdr:col>12</xdr:col>
      <xdr:colOff>895350</xdr:colOff>
      <xdr:row>73</xdr:row>
      <xdr:rowOff>152400</xdr:rowOff>
    </xdr:to>
    <xdr:sp macro="[0]!hinweis" textlink="">
      <xdr:nvSpPr>
        <xdr:cNvPr id="53878" name="Rectangle 38">
          <a:extLst>
            <a:ext uri="{FF2B5EF4-FFF2-40B4-BE49-F238E27FC236}">
              <a16:creationId xmlns:a16="http://schemas.microsoft.com/office/drawing/2014/main" id="{00000000-0008-0000-0100-000076D20000}"/>
            </a:ext>
          </a:extLst>
        </xdr:cNvPr>
        <xdr:cNvSpPr>
          <a:spLocks noChangeArrowheads="1"/>
        </xdr:cNvSpPr>
      </xdr:nvSpPr>
      <xdr:spPr bwMode="auto">
        <a:xfrm>
          <a:off x="5514975" y="11163300"/>
          <a:ext cx="59912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0</xdr:colOff>
      <xdr:row>18</xdr:row>
      <xdr:rowOff>171450</xdr:rowOff>
    </xdr:from>
    <xdr:to>
      <xdr:col>7</xdr:col>
      <xdr:colOff>0</xdr:colOff>
      <xdr:row>21</xdr:row>
      <xdr:rowOff>0</xdr:rowOff>
    </xdr:to>
    <xdr:sp macro="[0]!hinweis" textlink="">
      <xdr:nvSpPr>
        <xdr:cNvPr id="53879" name="Rectangle 38">
          <a:extLst>
            <a:ext uri="{FF2B5EF4-FFF2-40B4-BE49-F238E27FC236}">
              <a16:creationId xmlns:a16="http://schemas.microsoft.com/office/drawing/2014/main" id="{00000000-0008-0000-0100-000077D20000}"/>
            </a:ext>
          </a:extLst>
        </xdr:cNvPr>
        <xdr:cNvSpPr>
          <a:spLocks noChangeArrowheads="1"/>
        </xdr:cNvSpPr>
      </xdr:nvSpPr>
      <xdr:spPr bwMode="auto">
        <a:xfrm>
          <a:off x="4581525" y="3257550"/>
          <a:ext cx="9906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19050</xdr:colOff>
      <xdr:row>7</xdr:row>
      <xdr:rowOff>152399</xdr:rowOff>
    </xdr:from>
    <xdr:to>
      <xdr:col>2</xdr:col>
      <xdr:colOff>1457325</xdr:colOff>
      <xdr:row>10</xdr:row>
      <xdr:rowOff>133349</xdr:rowOff>
    </xdr:to>
    <xdr:sp macro="[0]!hinweis" textlink="">
      <xdr:nvSpPr>
        <xdr:cNvPr id="53880" name="Rectangle 38">
          <a:extLst>
            <a:ext uri="{FF2B5EF4-FFF2-40B4-BE49-F238E27FC236}">
              <a16:creationId xmlns:a16="http://schemas.microsoft.com/office/drawing/2014/main" id="{00000000-0008-0000-0100-000078D20000}"/>
            </a:ext>
          </a:extLst>
        </xdr:cNvPr>
        <xdr:cNvSpPr>
          <a:spLocks noChangeArrowheads="1"/>
        </xdr:cNvSpPr>
      </xdr:nvSpPr>
      <xdr:spPr bwMode="auto">
        <a:xfrm>
          <a:off x="790575" y="1819274"/>
          <a:ext cx="14382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9526</xdr:colOff>
      <xdr:row>2</xdr:row>
      <xdr:rowOff>9525</xdr:rowOff>
    </xdr:from>
    <xdr:to>
      <xdr:col>4</xdr:col>
      <xdr:colOff>381001</xdr:colOff>
      <xdr:row>13</xdr:row>
      <xdr:rowOff>19050</xdr:rowOff>
    </xdr:to>
    <xdr:sp macro="[0]!hinweis" textlink="">
      <xdr:nvSpPr>
        <xdr:cNvPr id="53881" name="Rectangle 38">
          <a:extLst>
            <a:ext uri="{FF2B5EF4-FFF2-40B4-BE49-F238E27FC236}">
              <a16:creationId xmlns:a16="http://schemas.microsoft.com/office/drawing/2014/main" id="{00000000-0008-0000-0100-000079D20000}"/>
            </a:ext>
          </a:extLst>
        </xdr:cNvPr>
        <xdr:cNvSpPr>
          <a:spLocks noChangeArrowheads="1"/>
        </xdr:cNvSpPr>
      </xdr:nvSpPr>
      <xdr:spPr bwMode="auto">
        <a:xfrm>
          <a:off x="133351" y="733425"/>
          <a:ext cx="3276600" cy="2428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66676</xdr:colOff>
      <xdr:row>14</xdr:row>
      <xdr:rowOff>76200</xdr:rowOff>
    </xdr:from>
    <xdr:to>
      <xdr:col>3</xdr:col>
      <xdr:colOff>466725</xdr:colOff>
      <xdr:row>16</xdr:row>
      <xdr:rowOff>0</xdr:rowOff>
    </xdr:to>
    <xdr:sp macro="[0]!hinweis" textlink="">
      <xdr:nvSpPr>
        <xdr:cNvPr id="53882" name="Rectangle 38">
          <a:extLst>
            <a:ext uri="{FF2B5EF4-FFF2-40B4-BE49-F238E27FC236}">
              <a16:creationId xmlns:a16="http://schemas.microsoft.com/office/drawing/2014/main" id="{00000000-0008-0000-0100-00007AD20000}"/>
            </a:ext>
          </a:extLst>
        </xdr:cNvPr>
        <xdr:cNvSpPr>
          <a:spLocks noChangeArrowheads="1"/>
        </xdr:cNvSpPr>
      </xdr:nvSpPr>
      <xdr:spPr bwMode="auto">
        <a:xfrm>
          <a:off x="190501" y="3286125"/>
          <a:ext cx="2724149"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12</xdr:col>
      <xdr:colOff>332509</xdr:colOff>
      <xdr:row>15</xdr:row>
      <xdr:rowOff>10390</xdr:rowOff>
    </xdr:from>
    <xdr:to>
      <xdr:col>12</xdr:col>
      <xdr:colOff>771525</xdr:colOff>
      <xdr:row>17</xdr:row>
      <xdr:rowOff>95250</xdr:rowOff>
    </xdr:to>
    <xdr:sp macro="[0]!hinweis" textlink="">
      <xdr:nvSpPr>
        <xdr:cNvPr id="53883" name="Rectangle 38">
          <a:extLst>
            <a:ext uri="{FF2B5EF4-FFF2-40B4-BE49-F238E27FC236}">
              <a16:creationId xmlns:a16="http://schemas.microsoft.com/office/drawing/2014/main" id="{00000000-0008-0000-0100-00007BD20000}"/>
            </a:ext>
          </a:extLst>
        </xdr:cNvPr>
        <xdr:cNvSpPr>
          <a:spLocks noChangeArrowheads="1"/>
        </xdr:cNvSpPr>
      </xdr:nvSpPr>
      <xdr:spPr bwMode="auto">
        <a:xfrm>
          <a:off x="11953009" y="3115540"/>
          <a:ext cx="439016" cy="484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941243</xdr:colOff>
      <xdr:row>28</xdr:row>
      <xdr:rowOff>123825</xdr:rowOff>
    </xdr:from>
    <xdr:to>
      <xdr:col>2</xdr:col>
      <xdr:colOff>1590675</xdr:colOff>
      <xdr:row>37</xdr:row>
      <xdr:rowOff>38099</xdr:rowOff>
    </xdr:to>
    <xdr:sp macro="[0]!hinweis" textlink="">
      <xdr:nvSpPr>
        <xdr:cNvPr id="53884" name="Rectangle 38">
          <a:extLst>
            <a:ext uri="{FF2B5EF4-FFF2-40B4-BE49-F238E27FC236}">
              <a16:creationId xmlns:a16="http://schemas.microsoft.com/office/drawing/2014/main" id="{00000000-0008-0000-0100-00007CD20000}"/>
            </a:ext>
          </a:extLst>
        </xdr:cNvPr>
        <xdr:cNvSpPr>
          <a:spLocks noChangeArrowheads="1"/>
        </xdr:cNvSpPr>
      </xdr:nvSpPr>
      <xdr:spPr bwMode="auto">
        <a:xfrm>
          <a:off x="1712768" y="5200650"/>
          <a:ext cx="649432" cy="1371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946439</xdr:colOff>
      <xdr:row>24</xdr:row>
      <xdr:rowOff>30306</xdr:rowOff>
    </xdr:from>
    <xdr:to>
      <xdr:col>6</xdr:col>
      <xdr:colOff>238125</xdr:colOff>
      <xdr:row>26</xdr:row>
      <xdr:rowOff>50222</xdr:rowOff>
    </xdr:to>
    <xdr:sp macro="[0]!hinweis" textlink="">
      <xdr:nvSpPr>
        <xdr:cNvPr id="53885" name="Rectangle 38">
          <a:extLst>
            <a:ext uri="{FF2B5EF4-FFF2-40B4-BE49-F238E27FC236}">
              <a16:creationId xmlns:a16="http://schemas.microsoft.com/office/drawing/2014/main" id="{00000000-0008-0000-0100-00007DD20000}"/>
            </a:ext>
          </a:extLst>
        </xdr:cNvPr>
        <xdr:cNvSpPr>
          <a:spLocks noChangeArrowheads="1"/>
        </xdr:cNvSpPr>
      </xdr:nvSpPr>
      <xdr:spPr bwMode="auto">
        <a:xfrm>
          <a:off x="5213639" y="4573731"/>
          <a:ext cx="329911" cy="343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28575</xdr:colOff>
      <xdr:row>19</xdr:row>
      <xdr:rowOff>38100</xdr:rowOff>
    </xdr:from>
    <xdr:to>
      <xdr:col>7</xdr:col>
      <xdr:colOff>0</xdr:colOff>
      <xdr:row>20</xdr:row>
      <xdr:rowOff>104775</xdr:rowOff>
    </xdr:to>
    <xdr:sp macro="[0]!hinweis" textlink="">
      <xdr:nvSpPr>
        <xdr:cNvPr id="53886" name="Rectangle 38">
          <a:extLst>
            <a:ext uri="{FF2B5EF4-FFF2-40B4-BE49-F238E27FC236}">
              <a16:creationId xmlns:a16="http://schemas.microsoft.com/office/drawing/2014/main" id="{00000000-0008-0000-0100-00007ED20000}"/>
            </a:ext>
          </a:extLst>
        </xdr:cNvPr>
        <xdr:cNvSpPr>
          <a:spLocks noChangeArrowheads="1"/>
        </xdr:cNvSpPr>
      </xdr:nvSpPr>
      <xdr:spPr bwMode="auto">
        <a:xfrm>
          <a:off x="4105275" y="3352800"/>
          <a:ext cx="2000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7</xdr:col>
      <xdr:colOff>1998</xdr:colOff>
      <xdr:row>45</xdr:row>
      <xdr:rowOff>121997</xdr:rowOff>
    </xdr:from>
    <xdr:to>
      <xdr:col>7</xdr:col>
      <xdr:colOff>1364425</xdr:colOff>
      <xdr:row>47</xdr:row>
      <xdr:rowOff>141625</xdr:rowOff>
    </xdr:to>
    <xdr:pic macro="[0]!cmd_berechnen_BeiKlick">
      <xdr:nvPicPr>
        <xdr:cNvPr id="53887" name="cmd_berechnen">
          <a:extLst>
            <a:ext uri="{FF2B5EF4-FFF2-40B4-BE49-F238E27FC236}">
              <a16:creationId xmlns:a16="http://schemas.microsoft.com/office/drawing/2014/main" id="{00000000-0008-0000-0100-00007FD2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6265" y="8179089"/>
          <a:ext cx="1365828" cy="286327"/>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 uri="{53640926-AAD7-44D8-BBD7-CCE9431645EC}">
            <a14:shadowObscured xmlns:a14="http://schemas.microsoft.com/office/drawing/2010/main" val="1"/>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1</xdr:row>
          <xdr:rowOff>19050</xdr:rowOff>
        </xdr:from>
        <xdr:to>
          <xdr:col>3</xdr:col>
          <xdr:colOff>228600</xdr:colOff>
          <xdr:row>1</xdr:row>
          <xdr:rowOff>295275</xdr:rowOff>
        </xdr:to>
        <xdr:sp macro="" textlink="">
          <xdr:nvSpPr>
            <xdr:cNvPr id="20483" name="ComboBox1"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17</xdr:row>
      <xdr:rowOff>142875</xdr:rowOff>
    </xdr:from>
    <xdr:to>
      <xdr:col>2</xdr:col>
      <xdr:colOff>1619250</xdr:colOff>
      <xdr:row>57</xdr:row>
      <xdr:rowOff>0</xdr:rowOff>
    </xdr:to>
    <xdr:sp macro="[0]!hinweis" textlink="">
      <xdr:nvSpPr>
        <xdr:cNvPr id="23" name="Rectangle 38">
          <a:extLst>
            <a:ext uri="{FF2B5EF4-FFF2-40B4-BE49-F238E27FC236}">
              <a16:creationId xmlns:a16="http://schemas.microsoft.com/office/drawing/2014/main" id="{00000000-0008-0000-0100-000017000000}"/>
            </a:ext>
          </a:extLst>
        </xdr:cNvPr>
        <xdr:cNvSpPr>
          <a:spLocks noChangeArrowheads="1"/>
        </xdr:cNvSpPr>
      </xdr:nvSpPr>
      <xdr:spPr bwMode="auto">
        <a:xfrm>
          <a:off x="0" y="3609975"/>
          <a:ext cx="2390775" cy="565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352426</xdr:colOff>
      <xdr:row>3</xdr:row>
      <xdr:rowOff>9525</xdr:rowOff>
    </xdr:from>
    <xdr:to>
      <xdr:col>7</xdr:col>
      <xdr:colOff>400050</xdr:colOff>
      <xdr:row>4</xdr:row>
      <xdr:rowOff>161925</xdr:rowOff>
    </xdr:to>
    <xdr:sp macro="[0]!hinweis" textlink="">
      <xdr:nvSpPr>
        <xdr:cNvPr id="24" name="Rectangle 38">
          <a:extLst>
            <a:ext uri="{FF2B5EF4-FFF2-40B4-BE49-F238E27FC236}">
              <a16:creationId xmlns:a16="http://schemas.microsoft.com/office/drawing/2014/main" id="{00000000-0008-0000-0100-000018000000}"/>
            </a:ext>
          </a:extLst>
        </xdr:cNvPr>
        <xdr:cNvSpPr>
          <a:spLocks noChangeArrowheads="1"/>
        </xdr:cNvSpPr>
      </xdr:nvSpPr>
      <xdr:spPr bwMode="auto">
        <a:xfrm>
          <a:off x="5657851" y="971550"/>
          <a:ext cx="1123949"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xdr:colOff>
      <xdr:row>25</xdr:row>
      <xdr:rowOff>38100</xdr:rowOff>
    </xdr:from>
    <xdr:to>
      <xdr:col>5</xdr:col>
      <xdr:colOff>1028700</xdr:colOff>
      <xdr:row>38</xdr:row>
      <xdr:rowOff>1</xdr:rowOff>
    </xdr:to>
    <xdr:sp macro="[0]!hinweis" textlink="">
      <xdr:nvSpPr>
        <xdr:cNvPr id="26" name="Rectangle 38">
          <a:extLst>
            <a:ext uri="{FF2B5EF4-FFF2-40B4-BE49-F238E27FC236}">
              <a16:creationId xmlns:a16="http://schemas.microsoft.com/office/drawing/2014/main" id="{00000000-0008-0000-0100-00001A000000}"/>
            </a:ext>
          </a:extLst>
        </xdr:cNvPr>
        <xdr:cNvSpPr>
          <a:spLocks noChangeArrowheads="1"/>
        </xdr:cNvSpPr>
      </xdr:nvSpPr>
      <xdr:spPr bwMode="auto">
        <a:xfrm>
          <a:off x="1" y="4686300"/>
          <a:ext cx="5295899" cy="1971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647699</xdr:colOff>
      <xdr:row>25</xdr:row>
      <xdr:rowOff>38100</xdr:rowOff>
    </xdr:from>
    <xdr:to>
      <xdr:col>11</xdr:col>
      <xdr:colOff>895350</xdr:colOff>
      <xdr:row>42</xdr:row>
      <xdr:rowOff>142876</xdr:rowOff>
    </xdr:to>
    <xdr:sp macro="[0]!hinweis" textlink="">
      <xdr:nvSpPr>
        <xdr:cNvPr id="27" name="Rectangle 38">
          <a:extLst>
            <a:ext uri="{FF2B5EF4-FFF2-40B4-BE49-F238E27FC236}">
              <a16:creationId xmlns:a16="http://schemas.microsoft.com/office/drawing/2014/main" id="{00000000-0008-0000-0100-00001B000000}"/>
            </a:ext>
          </a:extLst>
        </xdr:cNvPr>
        <xdr:cNvSpPr>
          <a:spLocks noChangeArrowheads="1"/>
        </xdr:cNvSpPr>
      </xdr:nvSpPr>
      <xdr:spPr bwMode="auto">
        <a:xfrm>
          <a:off x="11620499" y="5086350"/>
          <a:ext cx="247651" cy="2571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38101</xdr:colOff>
      <xdr:row>28</xdr:row>
      <xdr:rowOff>66675</xdr:rowOff>
    </xdr:from>
    <xdr:to>
      <xdr:col>12</xdr:col>
      <xdr:colOff>0</xdr:colOff>
      <xdr:row>39</xdr:row>
      <xdr:rowOff>28575</xdr:rowOff>
    </xdr:to>
    <xdr:sp macro="[0]!hinweis" textlink="">
      <xdr:nvSpPr>
        <xdr:cNvPr id="28" name="Rectangle 38">
          <a:extLst>
            <a:ext uri="{FF2B5EF4-FFF2-40B4-BE49-F238E27FC236}">
              <a16:creationId xmlns:a16="http://schemas.microsoft.com/office/drawing/2014/main" id="{00000000-0008-0000-0100-00001C000000}"/>
            </a:ext>
          </a:extLst>
        </xdr:cNvPr>
        <xdr:cNvSpPr>
          <a:spLocks noChangeArrowheads="1"/>
        </xdr:cNvSpPr>
      </xdr:nvSpPr>
      <xdr:spPr bwMode="auto">
        <a:xfrm>
          <a:off x="9896476" y="5086350"/>
          <a:ext cx="1019174"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9</xdr:col>
      <xdr:colOff>857250</xdr:colOff>
      <xdr:row>57</xdr:row>
      <xdr:rowOff>95251</xdr:rowOff>
    </xdr:from>
    <xdr:to>
      <xdr:col>12</xdr:col>
      <xdr:colOff>885825</xdr:colOff>
      <xdr:row>59</xdr:row>
      <xdr:rowOff>114301</xdr:rowOff>
    </xdr:to>
    <xdr:sp macro="[0]!hinweis" textlink="">
      <xdr:nvSpPr>
        <xdr:cNvPr id="29" name="Rectangle 38">
          <a:extLst>
            <a:ext uri="{FF2B5EF4-FFF2-40B4-BE49-F238E27FC236}">
              <a16:creationId xmlns:a16="http://schemas.microsoft.com/office/drawing/2014/main" id="{00000000-0008-0000-0100-00001D000000}"/>
            </a:ext>
          </a:extLst>
        </xdr:cNvPr>
        <xdr:cNvSpPr>
          <a:spLocks noChangeArrowheads="1"/>
        </xdr:cNvSpPr>
      </xdr:nvSpPr>
      <xdr:spPr bwMode="auto">
        <a:xfrm>
          <a:off x="8591550" y="9229726"/>
          <a:ext cx="32099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9</xdr:col>
          <xdr:colOff>0</xdr:colOff>
          <xdr:row>11</xdr:row>
          <xdr:rowOff>19050</xdr:rowOff>
        </xdr:from>
        <xdr:to>
          <xdr:col>9</xdr:col>
          <xdr:colOff>1057275</xdr:colOff>
          <xdr:row>12</xdr:row>
          <xdr:rowOff>0</xdr:rowOff>
        </xdr:to>
        <xdr:sp macro="" textlink="">
          <xdr:nvSpPr>
            <xdr:cNvPr id="20486" name="ComboBox2" hidden="1">
              <a:extLst>
                <a:ext uri="{63B3BB69-23CF-44E3-9099-C40C66FF867C}">
                  <a14:compatExt spid="_x0000_s20486"/>
                </a:ext>
                <a:ext uri="{FF2B5EF4-FFF2-40B4-BE49-F238E27FC236}">
                  <a16:creationId xmlns:a16="http://schemas.microsoft.com/office/drawing/2014/main" id="{00000000-0008-0000-0100-00000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10</xdr:row>
          <xdr:rowOff>57150</xdr:rowOff>
        </xdr:from>
        <xdr:to>
          <xdr:col>9</xdr:col>
          <xdr:colOff>1047750</xdr:colOff>
          <xdr:row>10</xdr:row>
          <xdr:rowOff>285750</xdr:rowOff>
        </xdr:to>
        <xdr:sp macro="" textlink="">
          <xdr:nvSpPr>
            <xdr:cNvPr id="20488" name="ComboBox3" hidden="1">
              <a:extLst>
                <a:ext uri="{63B3BB69-23CF-44E3-9099-C40C66FF867C}">
                  <a14:compatExt spid="_x0000_s20488"/>
                </a:ext>
                <a:ext uri="{FF2B5EF4-FFF2-40B4-BE49-F238E27FC236}">
                  <a16:creationId xmlns:a16="http://schemas.microsoft.com/office/drawing/2014/main" id="{00000000-0008-0000-0100-00000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1285875</xdr:colOff>
      <xdr:row>6</xdr:row>
      <xdr:rowOff>9525</xdr:rowOff>
    </xdr:from>
    <xdr:to>
      <xdr:col>3</xdr:col>
      <xdr:colOff>0</xdr:colOff>
      <xdr:row>38</xdr:row>
      <xdr:rowOff>38100</xdr:rowOff>
    </xdr:to>
    <xdr:sp macro="[0]!hinweis" textlink="">
      <xdr:nvSpPr>
        <xdr:cNvPr id="42506" name="Rectangle 38">
          <a:extLst>
            <a:ext uri="{FF2B5EF4-FFF2-40B4-BE49-F238E27FC236}">
              <a16:creationId xmlns:a16="http://schemas.microsoft.com/office/drawing/2014/main" id="{00000000-0008-0000-0200-00000AA60000}"/>
            </a:ext>
          </a:extLst>
        </xdr:cNvPr>
        <xdr:cNvSpPr>
          <a:spLocks noChangeArrowheads="1"/>
        </xdr:cNvSpPr>
      </xdr:nvSpPr>
      <xdr:spPr bwMode="auto">
        <a:xfrm>
          <a:off x="1476375" y="876300"/>
          <a:ext cx="619125" cy="454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xdr:col>
      <xdr:colOff>85725</xdr:colOff>
      <xdr:row>14</xdr:row>
      <xdr:rowOff>66675</xdr:rowOff>
    </xdr:from>
    <xdr:to>
      <xdr:col>10</xdr:col>
      <xdr:colOff>371475</xdr:colOff>
      <xdr:row>22</xdr:row>
      <xdr:rowOff>85725</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4686300" y="2152650"/>
          <a:ext cx="1657350" cy="107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wird überschrieben von VBA</a:t>
          </a:r>
        </a:p>
        <a:p>
          <a:endParaRPr lang="de-DE" sz="1100"/>
        </a:p>
        <a:p>
          <a:r>
            <a:rPr lang="de-DE" sz="1100"/>
            <a:t>4000€</a:t>
          </a:r>
        </a:p>
        <a:p>
          <a:r>
            <a:rPr lang="de-DE" sz="1100"/>
            <a:t>Heydorn Steuer 491,83  €</a:t>
          </a:r>
        </a:p>
        <a:p>
          <a:r>
            <a:rPr lang="de-DE"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161925</xdr:colOff>
      <xdr:row>0</xdr:row>
      <xdr:rowOff>0</xdr:rowOff>
    </xdr:from>
    <xdr:to>
      <xdr:col>25</xdr:col>
      <xdr:colOff>752475</xdr:colOff>
      <xdr:row>27</xdr:row>
      <xdr:rowOff>142876</xdr:rowOff>
    </xdr:to>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16154400" y="0"/>
          <a:ext cx="5924550" cy="467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a:p>
        <a:p>
          <a:endParaRPr lang="de-DE"/>
        </a:p>
        <a:p>
          <a:r>
            <a:rPr lang="de-DE"/>
            <a:t>Die Altersbezüge von </a:t>
          </a:r>
          <a:r>
            <a:rPr lang="de-DE" b="1"/>
            <a:t>Betriebspensionären</a:t>
          </a:r>
          <a:r>
            <a:rPr lang="de-DE"/>
            <a:t> sind nur dann steuerbegünstigte Versorgungsbezüge, wenn sie diese wegen Erreichens einer Altersgrenze erhalten – das heißt das </a:t>
          </a:r>
          <a:r>
            <a:rPr lang="de-DE" b="1"/>
            <a:t>63. Lebensjahr</a:t>
          </a:r>
          <a:r>
            <a:rPr lang="de-DE"/>
            <a:t> oder als Schwerbehinderter (GdB von wenigstens 50) das</a:t>
          </a:r>
          <a:r>
            <a:rPr lang="de-DE" b="1"/>
            <a:t> 60. Lebensjahr</a:t>
          </a:r>
          <a:r>
            <a:rPr lang="de-DE"/>
            <a:t> vollendet haben – oder ohne Altersgrenze wegen verminderter Erwerbsfähigkeit oder als Hinterbliebenenbezug erhalten (§ 19 Abs. 2 Nr. 2 EStG).</a:t>
          </a:r>
        </a:p>
        <a:p>
          <a:endParaRPr lang="de-DE" sz="1100"/>
        </a:p>
        <a:p>
          <a:endParaRPr lang="de-DE" sz="1100"/>
        </a:p>
        <a:p>
          <a:r>
            <a:rPr lang="de-DE" b="1"/>
            <a:t>Was gilt bei der Besteuerung von Betriebsrenten und Pensionen?</a:t>
          </a:r>
        </a:p>
        <a:p>
          <a:r>
            <a:rPr lang="de-DE"/>
            <a:t>Werden Betriebsrenten oder Beamtenpensionen durch den früheren Arbeitgeber gezahlt, gehören diese als Arbeitslohn zu den Einkünften aus nichtselbstständiger Arbeit. Soweit es sich dabei um einen Versorgungsbezug handelt, bleibt ein Teil davon steuerfrei (und unterliegt damit nicht der Besteuerung von Betriebsrenten und Pensionen).</a:t>
          </a:r>
        </a:p>
        <a:p>
          <a:r>
            <a:rPr lang="de-DE"/>
            <a:t> </a:t>
          </a:r>
        </a:p>
        <a:p>
          <a:r>
            <a:rPr lang="de-DE"/>
            <a:t>Beamtenpensionen sind Bezüge des öffentlichen Dienstes aus einem früheren Dienstverhältnis und stets Versorgungsbezüge. Hierunter fallen Bezüge, die als Ruhegehalt, Witwen- oder Waisengeld, Unterhaltsbeiträge oder als gleichartige Bezüge aufgrund beamtenrechtlicher oder entsprechender gesetzlicher Vorschriften oder nach beamtenrechtlichen Grundsätzen gezahlt werden.</a:t>
          </a:r>
        </a:p>
        <a:p>
          <a:r>
            <a:rPr lang="de-DE"/>
            <a:t> </a:t>
          </a:r>
        </a:p>
        <a:p>
          <a:r>
            <a:rPr lang="de-DE"/>
            <a:t>Betriebsrenten und Werkspensionen sind Bezüge aus einem privaten Arbeitsverhältnis, die meist nach Erreichen des Renteneintrittsalters gezahlt werden (oder auch aufgrund von Berufsunfähigkeit, Erwerbsunfähigkeit oder als Hinterbliebenenbezüge). Diese Bezüge sind grundsätzlich auch Versorgungsbezüge (allerdings nur, wenn der Steuerzahler das 63. Lebensjahr oder als schwer behinderter Mensch das 60. Lebensjahr vollendet hat). Zu den Werkspensionen gehören auch Leistungen aus einer Unterstützungskasse des ehemaligen Arbeitgebers.</a:t>
          </a:r>
        </a:p>
        <a:p>
          <a:endParaRPr lang="de-DE" sz="1100"/>
        </a:p>
      </xdr:txBody>
    </xdr:sp>
    <xdr:clientData/>
  </xdr:twoCellAnchor>
  <xdr:twoCellAnchor>
    <xdr:from>
      <xdr:col>0</xdr:col>
      <xdr:colOff>533400</xdr:colOff>
      <xdr:row>42</xdr:row>
      <xdr:rowOff>95250</xdr:rowOff>
    </xdr:from>
    <xdr:to>
      <xdr:col>5</xdr:col>
      <xdr:colOff>447675</xdr:colOff>
      <xdr:row>56</xdr:row>
      <xdr:rowOff>85725</xdr:rowOff>
    </xdr:to>
    <xdr:sp macro="" textlink="">
      <xdr:nvSpPr>
        <xdr:cNvPr id="3" name="Textfeld 2">
          <a:extLst>
            <a:ext uri="{FF2B5EF4-FFF2-40B4-BE49-F238E27FC236}">
              <a16:creationId xmlns:a16="http://schemas.microsoft.com/office/drawing/2014/main" id="{00000000-0008-0000-0400-000003000000}"/>
            </a:ext>
          </a:extLst>
        </xdr:cNvPr>
        <xdr:cNvSpPr txBox="1"/>
      </xdr:nvSpPr>
      <xdr:spPr>
        <a:xfrm>
          <a:off x="533400" y="7058025"/>
          <a:ext cx="5867400" cy="2257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b="1"/>
            <a:t>Beispiel:</a:t>
          </a:r>
          <a:r>
            <a:rPr lang="de-DE"/>
            <a:t> Ein verheirateter Steuerpflichtiger (64 Jahre), der seit Juni 2020 (= erster Versorgungsmonat) im Ruhestand ist, bekommt ab da vom früheren Arbeitgeber eine Werkspension von monatlich 450 EUR. Bei der Werkspension handelt es sich um Arbeitslohn, der wegen Überschreitens der Altersgrenze (63 Jahre) als Versorgungsbezug begünstigt besteuert wird. Der Versorgungsfreibetrag ermittelt sich wie folgt:</a:t>
          </a:r>
          <a:br>
            <a:rPr lang="de-DE"/>
          </a:br>
          <a:br>
            <a:rPr lang="de-DE"/>
          </a:br>
          <a:r>
            <a:rPr lang="de-DE"/>
            <a:t>12 × 450 EUR = 5.400 EUR, davon 16 % = 864 EUR (maximal 1.200 €) + Zuschlag 360 EUR = 1.224 EUR</a:t>
          </a:r>
          <a:br>
            <a:rPr lang="de-DE"/>
          </a:br>
          <a:br>
            <a:rPr lang="de-DE"/>
          </a:br>
          <a:r>
            <a:rPr lang="de-DE"/>
            <a:t>Ab dem folgenden Jahr (2021) bleiben von der Werksrente, auch wenn sie sich erhöht, jährlich 1.224 EUR steuerfrei. Für 2020 beträgt der steuerfreie Teil (ab Juni) 7/12 von 1.224 EUR = 714 EUR. Damit sind 2020 4.686 EUR (5.400 EUR – 714 EUR) steuerpflichtiger Arbeitslohn.</a:t>
          </a:r>
          <a:endParaRPr lang="de-DE" sz="1100"/>
        </a:p>
      </xdr:txBody>
    </xdr:sp>
    <xdr:clientData/>
  </xdr:twoCellAnchor>
  <xdr:twoCellAnchor>
    <xdr:from>
      <xdr:col>0</xdr:col>
      <xdr:colOff>514350</xdr:colOff>
      <xdr:row>58</xdr:row>
      <xdr:rowOff>57150</xdr:rowOff>
    </xdr:from>
    <xdr:to>
      <xdr:col>11</xdr:col>
      <xdr:colOff>447675</xdr:colOff>
      <xdr:row>62</xdr:row>
      <xdr:rowOff>9525</xdr:rowOff>
    </xdr:to>
    <xdr:sp macro="" textlink="">
      <xdr:nvSpPr>
        <xdr:cNvPr id="4" name="Textfeld 3">
          <a:extLst>
            <a:ext uri="{FF2B5EF4-FFF2-40B4-BE49-F238E27FC236}">
              <a16:creationId xmlns:a16="http://schemas.microsoft.com/office/drawing/2014/main" id="{00000000-0008-0000-0400-000004000000}"/>
            </a:ext>
          </a:extLst>
        </xdr:cNvPr>
        <xdr:cNvSpPr txBox="1"/>
      </xdr:nvSpPr>
      <xdr:spPr>
        <a:xfrm>
          <a:off x="514350" y="9610725"/>
          <a:ext cx="10458450"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b="1"/>
            <a:t>Welche Unterschiede gibt es bei der Besteuerung der Rente? </a:t>
          </a:r>
        </a:p>
        <a:p>
          <a:r>
            <a:rPr lang="de-DE"/>
            <a:t>Die folgende Übersicht soll Ihnen eine erste Orientierung zur Besteuerung der verschiedenen Renten geben: </a:t>
          </a:r>
        </a:p>
        <a:p>
          <a:endParaRPr lang="de-DE" sz="1100"/>
        </a:p>
      </xdr:txBody>
    </xdr:sp>
    <xdr:clientData/>
  </xdr:twoCellAnchor>
  <xdr:twoCellAnchor editAs="oneCell">
    <xdr:from>
      <xdr:col>0</xdr:col>
      <xdr:colOff>0</xdr:colOff>
      <xdr:row>63</xdr:row>
      <xdr:rowOff>0</xdr:rowOff>
    </xdr:from>
    <xdr:to>
      <xdr:col>8</xdr:col>
      <xdr:colOff>714375</xdr:colOff>
      <xdr:row>133</xdr:row>
      <xdr:rowOff>133350</xdr:rowOff>
    </xdr:to>
    <xdr:pic>
      <xdr:nvPicPr>
        <xdr:cNvPr id="5" name="Grafik 4" descr="Steuer: Rente versteuern">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63200"/>
          <a:ext cx="8953500"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2.xml"/><Relationship Id="rId13" Type="http://schemas.openxmlformats.org/officeDocument/2006/relationships/image" Target="../media/image4.emf"/><Relationship Id="rId18" Type="http://schemas.openxmlformats.org/officeDocument/2006/relationships/control" Target="../activeX/activeX7.xml"/><Relationship Id="rId26" Type="http://schemas.openxmlformats.org/officeDocument/2006/relationships/control" Target="../activeX/activeX11.xml"/><Relationship Id="rId3" Type="http://schemas.openxmlformats.org/officeDocument/2006/relationships/printerSettings" Target="../printerSettings/printerSettings1.bin"/><Relationship Id="rId21" Type="http://schemas.openxmlformats.org/officeDocument/2006/relationships/image" Target="../media/image8.emf"/><Relationship Id="rId7" Type="http://schemas.openxmlformats.org/officeDocument/2006/relationships/image" Target="../media/image1.emf"/><Relationship Id="rId12" Type="http://schemas.openxmlformats.org/officeDocument/2006/relationships/control" Target="../activeX/activeX4.xml"/><Relationship Id="rId17" Type="http://schemas.openxmlformats.org/officeDocument/2006/relationships/image" Target="../media/image6.emf"/><Relationship Id="rId25" Type="http://schemas.openxmlformats.org/officeDocument/2006/relationships/image" Target="../media/image10.emf"/><Relationship Id="rId2" Type="http://schemas.openxmlformats.org/officeDocument/2006/relationships/hyperlink" Target="mailto:werner.kleyer@gmail.com" TargetMode="External"/><Relationship Id="rId16" Type="http://schemas.openxmlformats.org/officeDocument/2006/relationships/control" Target="../activeX/activeX6.xml"/><Relationship Id="rId20" Type="http://schemas.openxmlformats.org/officeDocument/2006/relationships/control" Target="../activeX/activeX8.xml"/><Relationship Id="rId29" Type="http://schemas.openxmlformats.org/officeDocument/2006/relationships/image" Target="../media/image12.emf"/><Relationship Id="rId1" Type="http://schemas.openxmlformats.org/officeDocument/2006/relationships/hyperlink" Target="mailto:steuer@parmentier.de" TargetMode="External"/><Relationship Id="rId6" Type="http://schemas.openxmlformats.org/officeDocument/2006/relationships/control" Target="../activeX/activeX1.xml"/><Relationship Id="rId11" Type="http://schemas.openxmlformats.org/officeDocument/2006/relationships/image" Target="../media/image3.emf"/><Relationship Id="rId24" Type="http://schemas.openxmlformats.org/officeDocument/2006/relationships/control" Target="../activeX/activeX10.xml"/><Relationship Id="rId5" Type="http://schemas.openxmlformats.org/officeDocument/2006/relationships/vmlDrawing" Target="../drawings/vmlDrawing1.vml"/><Relationship Id="rId15" Type="http://schemas.openxmlformats.org/officeDocument/2006/relationships/image" Target="../media/image5.emf"/><Relationship Id="rId23" Type="http://schemas.openxmlformats.org/officeDocument/2006/relationships/image" Target="../media/image9.emf"/><Relationship Id="rId28" Type="http://schemas.openxmlformats.org/officeDocument/2006/relationships/control" Target="../activeX/activeX12.xml"/><Relationship Id="rId10" Type="http://schemas.openxmlformats.org/officeDocument/2006/relationships/control" Target="../activeX/activeX3.xml"/><Relationship Id="rId19" Type="http://schemas.openxmlformats.org/officeDocument/2006/relationships/image" Target="../media/image7.emf"/><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control" Target="../activeX/activeX5.xml"/><Relationship Id="rId22" Type="http://schemas.openxmlformats.org/officeDocument/2006/relationships/control" Target="../activeX/activeX9.xml"/><Relationship Id="rId27" Type="http://schemas.openxmlformats.org/officeDocument/2006/relationships/image" Target="../media/image11.emf"/><Relationship Id="rId30"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14.xml"/><Relationship Id="rId3" Type="http://schemas.openxmlformats.org/officeDocument/2006/relationships/printerSettings" Target="../printerSettings/printerSettings2.bin"/><Relationship Id="rId7" Type="http://schemas.openxmlformats.org/officeDocument/2006/relationships/image" Target="../media/image16.emf"/><Relationship Id="rId12" Type="http://schemas.openxmlformats.org/officeDocument/2006/relationships/comments" Target="../comments2.xml"/><Relationship Id="rId2" Type="http://schemas.openxmlformats.org/officeDocument/2006/relationships/hyperlink" Target="https://www.finanzrechner.org/sonstige-rechner/rentenbesteuerungsrechner/" TargetMode="External"/><Relationship Id="rId1" Type="http://schemas.openxmlformats.org/officeDocument/2006/relationships/hyperlink" Target="https://n-heydorn.de/rentenbesteuerung.html" TargetMode="External"/><Relationship Id="rId6" Type="http://schemas.openxmlformats.org/officeDocument/2006/relationships/control" Target="../activeX/activeX13.xml"/><Relationship Id="rId11" Type="http://schemas.openxmlformats.org/officeDocument/2006/relationships/image" Target="../media/image18.emf"/><Relationship Id="rId5" Type="http://schemas.openxmlformats.org/officeDocument/2006/relationships/vmlDrawing" Target="../drawings/vmlDrawing2.vml"/><Relationship Id="rId10" Type="http://schemas.openxmlformats.org/officeDocument/2006/relationships/control" Target="../activeX/activeX15.xml"/><Relationship Id="rId4" Type="http://schemas.openxmlformats.org/officeDocument/2006/relationships/drawing" Target="../drawings/drawing2.xml"/><Relationship Id="rId9" Type="http://schemas.openxmlformats.org/officeDocument/2006/relationships/image" Target="../media/image17.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localhost:48669/lexsoft/default/sk_akad.html?sourceid=zDy2ajVKWz0" TargetMode="External"/><Relationship Id="rId7" Type="http://schemas.openxmlformats.org/officeDocument/2006/relationships/printerSettings" Target="../printerSettings/printerSettings5.bin"/><Relationship Id="rId2" Type="http://schemas.openxmlformats.org/officeDocument/2006/relationships/hyperlink" Target="https://www.gesetze-im-internet.de/estg/__19.html" TargetMode="External"/><Relationship Id="rId1" Type="http://schemas.openxmlformats.org/officeDocument/2006/relationships/hyperlink" Target="https://www.lohn-info.de/versorgungsfreibetrag.html" TargetMode="External"/><Relationship Id="rId6" Type="http://schemas.openxmlformats.org/officeDocument/2006/relationships/hyperlink" Target="https://www.finanzrechner.org/sonstige-rechner/rentenbesteuerungsrechner/" TargetMode="External"/><Relationship Id="rId5" Type="http://schemas.openxmlformats.org/officeDocument/2006/relationships/hyperlink" Target="https://www.finanzrechner.org/sonstige-rechner/rentenbesteuerungsrechner/" TargetMode="External"/><Relationship Id="rId4" Type="http://schemas.openxmlformats.org/officeDocument/2006/relationships/hyperlink" Target="https://www.steuern.de/betriebsrente-und-pension.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XFD59"/>
  <sheetViews>
    <sheetView zoomScaleNormal="100" workbookViewId="0">
      <selection activeCell="B6" sqref="B6"/>
    </sheetView>
  </sheetViews>
  <sheetFormatPr baseColWidth="10" defaultColWidth="0" defaultRowHeight="12.75" zeroHeight="1" x14ac:dyDescent="0.2"/>
  <cols>
    <col min="1" max="1" width="40.28515625" style="11" customWidth="1"/>
    <col min="2" max="2" width="53.28515625" style="1" customWidth="1"/>
    <col min="3" max="3" width="15.42578125" style="1" customWidth="1"/>
    <col min="4" max="4" width="4.85546875" style="1" customWidth="1"/>
    <col min="5" max="5" width="12.140625" style="11" customWidth="1"/>
    <col min="6" max="6" width="23.28515625" style="1" customWidth="1"/>
    <col min="7" max="7" width="10.42578125" style="2" hidden="1" customWidth="1"/>
    <col min="8" max="8" width="10.85546875" style="2" hidden="1" customWidth="1"/>
    <col min="9" max="9" width="6" style="2" hidden="1" customWidth="1"/>
    <col min="10" max="10" width="11.7109375" style="2" hidden="1" customWidth="1"/>
    <col min="11" max="11" width="11.42578125" style="2" hidden="1" customWidth="1"/>
    <col min="12" max="12" width="5.28515625" style="2" hidden="1" customWidth="1"/>
    <col min="13" max="13" width="2.28515625" style="2" hidden="1"/>
    <col min="14" max="14" width="4.85546875" style="2" hidden="1"/>
    <col min="15" max="15" width="17.28515625" style="2" hidden="1"/>
    <col min="16" max="16" width="12.28515625" style="2" hidden="1"/>
    <col min="17" max="17" width="11.42578125" style="2" hidden="1"/>
    <col min="18" max="255" width="3.42578125" style="2" hidden="1"/>
    <col min="256" max="16383" width="11.42578125" style="11" hidden="1"/>
    <col min="16384" max="16384" width="17.42578125" style="11" hidden="1"/>
  </cols>
  <sheetData>
    <row r="1" spans="1:256" ht="14.25" customHeight="1" x14ac:dyDescent="0.2">
      <c r="A1" s="10"/>
      <c r="B1" s="139"/>
      <c r="C1" s="11"/>
      <c r="D1" s="11"/>
      <c r="F1" s="38"/>
      <c r="G1" s="105"/>
      <c r="H1" s="105"/>
      <c r="I1" s="106"/>
      <c r="J1" s="2">
        <v>1</v>
      </c>
      <c r="K1" s="2">
        <v>0</v>
      </c>
      <c r="L1" s="520">
        <v>0</v>
      </c>
      <c r="IV1" s="38"/>
    </row>
    <row r="2" spans="1:256" ht="14.25" customHeight="1" x14ac:dyDescent="0.25">
      <c r="A2" s="15"/>
      <c r="B2" s="16" t="s">
        <v>108</v>
      </c>
      <c r="C2" s="40"/>
      <c r="D2" s="12"/>
      <c r="E2" s="19"/>
      <c r="F2" s="13"/>
      <c r="G2" s="107"/>
      <c r="H2" s="107"/>
      <c r="I2" s="108"/>
      <c r="J2" s="2">
        <v>2</v>
      </c>
      <c r="K2" s="2">
        <v>8</v>
      </c>
      <c r="L2" s="520">
        <v>1</v>
      </c>
      <c r="IV2" s="38"/>
    </row>
    <row r="3" spans="1:256" ht="14.25" customHeight="1" x14ac:dyDescent="0.2">
      <c r="A3" s="18"/>
      <c r="B3" s="552">
        <v>2021</v>
      </c>
      <c r="C3" s="305" t="s">
        <v>201</v>
      </c>
      <c r="D3" s="229"/>
      <c r="E3" s="229"/>
      <c r="F3" s="229"/>
      <c r="G3" s="229"/>
      <c r="H3" s="229"/>
      <c r="J3" s="2">
        <v>3</v>
      </c>
      <c r="K3" s="2">
        <v>9</v>
      </c>
      <c r="IV3" s="38"/>
    </row>
    <row r="4" spans="1:256" ht="14.25" customHeight="1" x14ac:dyDescent="0.2">
      <c r="A4" s="18"/>
      <c r="B4" s="553"/>
      <c r="C4" s="40"/>
      <c r="D4" s="12"/>
      <c r="E4" s="19"/>
      <c r="F4" s="38"/>
      <c r="J4" s="2">
        <v>4</v>
      </c>
      <c r="IV4" s="38"/>
    </row>
    <row r="5" spans="1:256" ht="14.25" customHeight="1" x14ac:dyDescent="0.2">
      <c r="A5" s="18"/>
      <c r="B5" s="36" t="s">
        <v>28</v>
      </c>
      <c r="C5" s="40"/>
      <c r="D5" s="12"/>
      <c r="E5" s="20"/>
      <c r="F5" s="11"/>
      <c r="J5" s="2">
        <v>5</v>
      </c>
      <c r="IV5" s="38"/>
    </row>
    <row r="6" spans="1:256" ht="14.25" customHeight="1" x14ac:dyDescent="0.25">
      <c r="A6" s="37" t="s">
        <v>29</v>
      </c>
      <c r="B6" s="232" t="s">
        <v>383</v>
      </c>
      <c r="C6" s="19"/>
      <c r="D6" s="19"/>
      <c r="E6" s="21"/>
      <c r="F6" s="11"/>
      <c r="J6" s="119">
        <v>6</v>
      </c>
      <c r="IV6" s="38"/>
    </row>
    <row r="7" spans="1:256" ht="14.25" customHeight="1" x14ac:dyDescent="0.25">
      <c r="A7" s="34" t="s">
        <v>27</v>
      </c>
      <c r="B7" s="232"/>
      <c r="C7" s="22"/>
      <c r="D7" s="22"/>
      <c r="E7" s="23"/>
      <c r="F7" s="11"/>
      <c r="IV7" s="38"/>
    </row>
    <row r="8" spans="1:256" ht="14.25" customHeight="1" x14ac:dyDescent="0.25">
      <c r="A8" s="35" t="s">
        <v>194</v>
      </c>
      <c r="B8" s="232"/>
      <c r="C8" s="556" t="s">
        <v>367</v>
      </c>
      <c r="D8" s="557"/>
      <c r="E8" s="557"/>
      <c r="F8" s="143" t="s">
        <v>61</v>
      </c>
      <c r="IV8" s="38"/>
    </row>
    <row r="9" spans="1:256" ht="6" customHeight="1" x14ac:dyDescent="0.2">
      <c r="A9" s="24"/>
      <c r="B9" s="25"/>
      <c r="C9" s="25"/>
      <c r="D9" s="25"/>
      <c r="E9" s="23"/>
      <c r="F9" s="11"/>
      <c r="G9" s="3"/>
      <c r="H9" s="118"/>
      <c r="I9" s="3"/>
      <c r="J9" s="119"/>
      <c r="K9" s="3"/>
      <c r="L9" s="3"/>
      <c r="M9" s="3"/>
      <c r="N9" s="3"/>
      <c r="IV9" s="38"/>
    </row>
    <row r="10" spans="1:256" ht="3.75" customHeight="1" thickBot="1" x14ac:dyDescent="0.25">
      <c r="A10" s="24"/>
      <c r="B10" s="29"/>
      <c r="C10" s="11"/>
      <c r="D10" s="26"/>
      <c r="E10" s="23"/>
      <c r="F10" s="11"/>
      <c r="G10" s="3"/>
      <c r="H10" s="3"/>
      <c r="I10" s="3"/>
      <c r="J10" s="3"/>
      <c r="K10" s="3"/>
      <c r="L10" s="3"/>
      <c r="M10" s="3"/>
      <c r="N10" s="3"/>
      <c r="IV10" s="38"/>
    </row>
    <row r="11" spans="1:256" ht="15" customHeight="1" x14ac:dyDescent="0.2">
      <c r="A11" s="24"/>
      <c r="B11" s="153" t="s">
        <v>35</v>
      </c>
      <c r="C11" s="140"/>
      <c r="D11" s="93"/>
      <c r="E11" s="27"/>
      <c r="F11" s="38"/>
      <c r="G11" s="3"/>
      <c r="H11" s="8"/>
      <c r="I11" s="84"/>
      <c r="J11" s="85"/>
      <c r="K11" s="120"/>
      <c r="L11" s="3"/>
      <c r="M11" s="3"/>
      <c r="N11" s="3"/>
      <c r="IV11" s="38"/>
    </row>
    <row r="12" spans="1:256" ht="19.5" customHeight="1" x14ac:dyDescent="0.2">
      <c r="A12" s="24"/>
      <c r="B12" s="528" t="s">
        <v>6</v>
      </c>
      <c r="C12" s="525" t="s">
        <v>365</v>
      </c>
      <c r="D12" s="94"/>
      <c r="E12" s="19"/>
      <c r="F12" s="11"/>
      <c r="G12" s="3"/>
      <c r="H12" s="80"/>
      <c r="I12" s="81"/>
      <c r="J12" s="80"/>
      <c r="K12" s="120"/>
      <c r="L12" s="3"/>
      <c r="M12" s="3"/>
      <c r="N12" s="3"/>
      <c r="IV12" s="38"/>
    </row>
    <row r="13" spans="1:256" ht="14.25" customHeight="1" x14ac:dyDescent="0.2">
      <c r="A13" s="19"/>
      <c r="B13" s="529" t="s">
        <v>151</v>
      </c>
      <c r="C13" s="526">
        <v>1</v>
      </c>
      <c r="D13" s="95"/>
      <c r="E13" s="537" t="s">
        <v>369</v>
      </c>
      <c r="F13" s="38"/>
      <c r="G13" s="3"/>
      <c r="H13" s="80"/>
      <c r="I13" s="81"/>
      <c r="J13" s="80"/>
      <c r="K13" s="120"/>
      <c r="L13" s="3"/>
      <c r="M13" s="3"/>
      <c r="N13" s="3"/>
      <c r="IV13" s="38"/>
    </row>
    <row r="14" spans="1:256" ht="21" customHeight="1" x14ac:dyDescent="0.2">
      <c r="B14" s="530" t="s">
        <v>128</v>
      </c>
      <c r="C14" s="525" t="s">
        <v>366</v>
      </c>
      <c r="D14" s="91"/>
      <c r="F14" s="39"/>
      <c r="G14" s="3"/>
      <c r="H14" s="80"/>
      <c r="I14" s="81"/>
      <c r="J14" s="80"/>
      <c r="K14" s="120"/>
      <c r="L14" s="3"/>
      <c r="M14" s="3"/>
      <c r="N14" s="3"/>
      <c r="IV14" s="38"/>
    </row>
    <row r="15" spans="1:256" ht="18.75" customHeight="1" x14ac:dyDescent="0.2">
      <c r="B15" s="530" t="s">
        <v>129</v>
      </c>
      <c r="C15" s="527" t="s">
        <v>366</v>
      </c>
      <c r="D15" s="91"/>
      <c r="F15" s="11"/>
      <c r="G15" s="3"/>
      <c r="H15" s="3"/>
      <c r="I15" s="3"/>
      <c r="J15" s="3"/>
      <c r="K15" s="3"/>
      <c r="L15" s="3"/>
      <c r="M15" s="3"/>
      <c r="N15" s="3"/>
      <c r="IV15" s="38"/>
    </row>
    <row r="16" spans="1:256" ht="18.75" customHeight="1" x14ac:dyDescent="0.2">
      <c r="B16" s="528" t="s">
        <v>36</v>
      </c>
      <c r="C16" s="527" t="s">
        <v>366</v>
      </c>
      <c r="D16" s="150"/>
      <c r="E16" s="17"/>
      <c r="F16" s="11"/>
      <c r="G16" s="3"/>
      <c r="H16" s="64"/>
      <c r="I16" s="81"/>
      <c r="J16" s="80"/>
      <c r="K16" s="120"/>
      <c r="L16" s="3"/>
      <c r="M16" s="3"/>
      <c r="N16" s="3"/>
      <c r="IV16" s="38"/>
    </row>
    <row r="17" spans="1:256" ht="18" customHeight="1" x14ac:dyDescent="0.2">
      <c r="B17" s="531" t="s">
        <v>122</v>
      </c>
      <c r="C17" s="521">
        <v>14.6</v>
      </c>
      <c r="D17" s="96" t="s">
        <v>37</v>
      </c>
      <c r="E17" s="14"/>
      <c r="F17" s="11"/>
      <c r="G17" s="3"/>
      <c r="H17" s="64"/>
      <c r="I17" s="81"/>
      <c r="J17" s="80"/>
      <c r="K17" s="120"/>
      <c r="L17" s="3"/>
      <c r="M17" s="3"/>
      <c r="N17" s="3"/>
      <c r="IV17" s="38"/>
    </row>
    <row r="18" spans="1:256" ht="15" customHeight="1" x14ac:dyDescent="0.2">
      <c r="B18" s="532" t="s">
        <v>160</v>
      </c>
      <c r="C18" s="521">
        <v>1.2</v>
      </c>
      <c r="D18" s="96" t="s">
        <v>8</v>
      </c>
      <c r="E18" s="14"/>
      <c r="F18" s="211"/>
      <c r="G18" s="3"/>
      <c r="H18" s="64"/>
      <c r="I18" s="81"/>
      <c r="J18" s="80"/>
      <c r="K18" s="120"/>
      <c r="L18" s="3"/>
      <c r="M18" s="3"/>
      <c r="N18" s="3"/>
      <c r="IV18" s="38"/>
    </row>
    <row r="19" spans="1:256" ht="18.75" customHeight="1" x14ac:dyDescent="0.2">
      <c r="B19" s="533" t="s">
        <v>123</v>
      </c>
      <c r="C19" s="522">
        <v>0</v>
      </c>
      <c r="D19" s="96" t="s">
        <v>5</v>
      </c>
      <c r="E19" s="14"/>
      <c r="F19" s="211"/>
      <c r="G19" s="3"/>
      <c r="H19" s="3"/>
      <c r="I19" s="3"/>
      <c r="J19" s="3"/>
      <c r="K19" s="3"/>
      <c r="L19" s="3"/>
      <c r="M19" s="3"/>
      <c r="N19" s="3"/>
      <c r="IV19" s="38"/>
    </row>
    <row r="20" spans="1:256" ht="18" customHeight="1" x14ac:dyDescent="0.25">
      <c r="B20" s="533" t="s">
        <v>38</v>
      </c>
      <c r="C20" s="527" t="s">
        <v>366</v>
      </c>
      <c r="D20" s="96"/>
      <c r="E20" s="14"/>
      <c r="F20" s="211"/>
      <c r="G20" s="3"/>
      <c r="H20" s="78"/>
      <c r="I20" s="81"/>
      <c r="J20" s="80"/>
      <c r="K20" s="116"/>
      <c r="L20" s="3"/>
      <c r="M20" s="3"/>
      <c r="N20" s="3"/>
      <c r="IV20" s="38"/>
    </row>
    <row r="21" spans="1:256" ht="20.25" customHeight="1" x14ac:dyDescent="0.2">
      <c r="B21" s="528" t="s">
        <v>39</v>
      </c>
      <c r="C21" s="527" t="s">
        <v>366</v>
      </c>
      <c r="D21" s="96"/>
      <c r="E21" s="536" t="s">
        <v>368</v>
      </c>
      <c r="F21" s="211"/>
      <c r="G21" s="3"/>
      <c r="H21" s="3"/>
      <c r="I21" s="3"/>
      <c r="J21" s="3"/>
      <c r="K21" s="121"/>
      <c r="L21" s="3"/>
      <c r="M21" s="3"/>
      <c r="N21" s="3"/>
      <c r="IV21" s="38"/>
    </row>
    <row r="22" spans="1:256" ht="21.75" customHeight="1" x14ac:dyDescent="0.2">
      <c r="B22" s="528" t="s">
        <v>40</v>
      </c>
      <c r="C22" s="527" t="s">
        <v>366</v>
      </c>
      <c r="D22" s="96"/>
      <c r="E22" s="14"/>
      <c r="F22" s="211"/>
      <c r="IV22" s="38"/>
    </row>
    <row r="23" spans="1:256" ht="22.5" customHeight="1" x14ac:dyDescent="0.2">
      <c r="B23" s="528" t="s">
        <v>41</v>
      </c>
      <c r="C23" s="527" t="s">
        <v>366</v>
      </c>
      <c r="D23" s="96"/>
      <c r="E23" s="14"/>
      <c r="F23" s="139"/>
      <c r="IV23" s="38"/>
    </row>
    <row r="24" spans="1:256" ht="20.25" customHeight="1" x14ac:dyDescent="0.2">
      <c r="B24" s="530" t="s">
        <v>124</v>
      </c>
      <c r="C24" s="527" t="s">
        <v>366</v>
      </c>
      <c r="D24" s="150" t="s">
        <v>8</v>
      </c>
      <c r="E24" s="17"/>
      <c r="F24" s="11"/>
      <c r="IV24" s="38"/>
    </row>
    <row r="25" spans="1:256" ht="14.25" customHeight="1" x14ac:dyDescent="0.2">
      <c r="B25" s="534" t="s">
        <v>125</v>
      </c>
      <c r="C25" s="523">
        <v>22302</v>
      </c>
      <c r="D25" s="96"/>
      <c r="E25" s="12"/>
      <c r="F25" s="11"/>
      <c r="IV25" s="38"/>
    </row>
    <row r="26" spans="1:256" ht="14.25" customHeight="1" x14ac:dyDescent="0.2">
      <c r="B26" s="530" t="s">
        <v>7</v>
      </c>
      <c r="C26" s="524">
        <f>Gehaltsabrechnung!K13</f>
        <v>5769.5</v>
      </c>
      <c r="D26" s="151" t="s">
        <v>5</v>
      </c>
      <c r="E26" s="220" t="s">
        <v>182</v>
      </c>
      <c r="F26" s="221"/>
      <c r="IV26" s="38"/>
    </row>
    <row r="27" spans="1:256" ht="18" customHeight="1" thickBot="1" x14ac:dyDescent="0.25">
      <c r="A27" s="19"/>
      <c r="B27" s="535" t="s">
        <v>11</v>
      </c>
      <c r="C27" s="237"/>
      <c r="D27" s="152" t="s">
        <v>5</v>
      </c>
      <c r="E27" s="14"/>
      <c r="F27" s="11"/>
      <c r="IV27" s="38"/>
    </row>
    <row r="28" spans="1:256" ht="19.5" customHeight="1" thickBot="1" x14ac:dyDescent="0.25">
      <c r="A28" s="19"/>
      <c r="B28" s="277" t="s">
        <v>193</v>
      </c>
      <c r="C28" s="236">
        <v>37987</v>
      </c>
      <c r="D28" s="12"/>
      <c r="E28" s="14"/>
      <c r="F28" s="11"/>
      <c r="IV28" s="38"/>
    </row>
    <row r="29" spans="1:256" ht="18.75" customHeight="1" x14ac:dyDescent="0.2">
      <c r="A29" s="19"/>
      <c r="B29" s="205"/>
      <c r="C29" s="206"/>
      <c r="D29" s="207"/>
      <c r="E29" s="14"/>
      <c r="F29" s="11"/>
      <c r="IV29" s="38"/>
    </row>
    <row r="30" spans="1:256" ht="16.5" customHeight="1" x14ac:dyDescent="0.2">
      <c r="A30" s="19"/>
      <c r="B30" s="208"/>
      <c r="C30" s="209"/>
      <c r="D30" s="210"/>
      <c r="E30" s="14"/>
      <c r="F30" s="11"/>
      <c r="IV30" s="38"/>
    </row>
    <row r="31" spans="1:256" ht="9" customHeight="1" x14ac:dyDescent="0.2">
      <c r="A31" s="19"/>
      <c r="B31" s="11"/>
      <c r="C31" s="11"/>
      <c r="D31" s="11"/>
      <c r="F31" s="11"/>
      <c r="IV31" s="38"/>
    </row>
    <row r="32" spans="1:256" ht="12" customHeight="1" x14ac:dyDescent="0.2">
      <c r="A32" s="19"/>
      <c r="B32" s="11"/>
      <c r="C32" s="11"/>
      <c r="D32" s="11"/>
      <c r="F32" s="11"/>
      <c r="IV32" s="38"/>
    </row>
    <row r="33" spans="1:256 16384:16384" ht="14.25" customHeight="1" x14ac:dyDescent="0.2">
      <c r="A33" s="19"/>
      <c r="B33" s="554"/>
      <c r="C33" s="554"/>
      <c r="D33" s="554"/>
      <c r="E33" s="14"/>
      <c r="F33" s="11"/>
      <c r="IV33" s="38"/>
    </row>
    <row r="34" spans="1:256 16384:16384" ht="15.75" customHeight="1" x14ac:dyDescent="0.2">
      <c r="A34" s="19"/>
      <c r="B34" s="550" t="s">
        <v>174</v>
      </c>
      <c r="C34" s="555"/>
      <c r="D34" s="555"/>
      <c r="E34" s="14"/>
      <c r="F34" s="11"/>
      <c r="IV34" s="38"/>
    </row>
    <row r="35" spans="1:256 16384:16384" ht="14.25" customHeight="1" x14ac:dyDescent="0.2">
      <c r="B35" s="46" t="s">
        <v>60</v>
      </c>
      <c r="C35" s="238">
        <v>0</v>
      </c>
      <c r="D35" s="41" t="s">
        <v>8</v>
      </c>
      <c r="E35" s="12"/>
      <c r="F35" s="11"/>
      <c r="IV35" s="38"/>
    </row>
    <row r="36" spans="1:256 16384:16384" ht="14.25" customHeight="1" x14ac:dyDescent="0.2">
      <c r="B36" s="46" t="s">
        <v>56</v>
      </c>
      <c r="C36" s="238">
        <v>0</v>
      </c>
      <c r="D36" s="41" t="s">
        <v>8</v>
      </c>
      <c r="E36" s="102"/>
      <c r="F36" s="103"/>
      <c r="G36" s="109"/>
      <c r="H36" s="109"/>
      <c r="I36" s="106"/>
      <c r="IV36" s="38"/>
    </row>
    <row r="37" spans="1:256 16384:16384" ht="14.25" customHeight="1" x14ac:dyDescent="0.2">
      <c r="A37" s="30"/>
      <c r="B37" s="46" t="s">
        <v>57</v>
      </c>
      <c r="C37" s="238">
        <v>0</v>
      </c>
      <c r="D37" s="41" t="s">
        <v>37</v>
      </c>
      <c r="E37" s="14"/>
      <c r="F37" s="104"/>
      <c r="G37" s="110"/>
      <c r="H37" s="111"/>
      <c r="I37" s="106"/>
      <c r="IV37" s="38"/>
    </row>
    <row r="38" spans="1:256 16384:16384" ht="14.25" customHeight="1" x14ac:dyDescent="0.2">
      <c r="A38" s="31"/>
      <c r="B38" s="40"/>
      <c r="C38" s="12"/>
      <c r="D38" s="12"/>
      <c r="E38" s="14"/>
      <c r="F38" s="104"/>
      <c r="IV38" s="38"/>
    </row>
    <row r="39" spans="1:256 16384:16384" ht="14.25" customHeight="1" x14ac:dyDescent="0.2">
      <c r="A39" s="234">
        <v>44222</v>
      </c>
      <c r="B39" s="235" t="s">
        <v>159</v>
      </c>
      <c r="C39" s="12"/>
      <c r="D39" s="12"/>
      <c r="E39" s="14"/>
      <c r="F39" s="104"/>
      <c r="H39" s="111"/>
      <c r="IV39" s="38"/>
      <c r="XFD39" s="481">
        <v>44297.55463402778</v>
      </c>
    </row>
    <row r="40" spans="1:256 16384:16384" x14ac:dyDescent="0.2">
      <c r="A40" s="33"/>
      <c r="B40" s="233" t="s">
        <v>186</v>
      </c>
      <c r="C40" s="235" t="s">
        <v>187</v>
      </c>
      <c r="D40" s="231"/>
      <c r="F40" s="519">
        <v>44299.314128703707</v>
      </c>
      <c r="IV40" s="38"/>
      <c r="XFD40" s="481">
        <f ca="1">NOW()</f>
        <v>44301.546329629629</v>
      </c>
    </row>
    <row r="41" spans="1:256 16384:16384" hidden="1" x14ac:dyDescent="0.2">
      <c r="A41" s="33"/>
      <c r="B41" s="32"/>
      <c r="C41" s="24"/>
      <c r="D41" s="11"/>
      <c r="E41" s="14"/>
      <c r="F41" s="14"/>
      <c r="IV41" s="38"/>
    </row>
    <row r="42" spans="1:256 16384:16384" hidden="1" x14ac:dyDescent="0.2">
      <c r="A42" s="28"/>
      <c r="B42" s="92"/>
      <c r="C42" s="550"/>
      <c r="D42" s="551"/>
      <c r="E42" s="551"/>
      <c r="F42" s="14"/>
      <c r="IV42" s="38"/>
    </row>
    <row r="43" spans="1:256 16384:16384" hidden="1" x14ac:dyDescent="0.2">
      <c r="A43" s="28"/>
      <c r="B43" s="24"/>
      <c r="C43" s="24"/>
      <c r="D43" s="11"/>
      <c r="E43" s="14"/>
      <c r="F43" s="14"/>
      <c r="IV43" s="38"/>
    </row>
    <row r="44" spans="1:256 16384:16384" hidden="1" x14ac:dyDescent="0.2">
      <c r="A44" s="101"/>
      <c r="B44" s="101"/>
      <c r="C44" s="101"/>
      <c r="D44" s="101"/>
      <c r="E44" s="101"/>
      <c r="F44" s="101"/>
      <c r="G44" s="112"/>
      <c r="H44" s="112"/>
      <c r="I44" s="112"/>
      <c r="IV44" s="38"/>
    </row>
    <row r="48" spans="1:256 16384:16384" hidden="1" x14ac:dyDescent="0.2">
      <c r="B48" s="6"/>
      <c r="C48" s="4"/>
      <c r="E48" s="14"/>
      <c r="F48" s="5"/>
    </row>
    <row r="49" spans="2:7" hidden="1" x14ac:dyDescent="0.2">
      <c r="B49" s="7"/>
      <c r="C49" s="4"/>
      <c r="E49" s="14"/>
      <c r="F49" s="5"/>
    </row>
    <row r="50" spans="2:7" hidden="1" x14ac:dyDescent="0.2">
      <c r="B50" s="4"/>
      <c r="C50" s="4"/>
      <c r="E50" s="14"/>
      <c r="F50" s="5"/>
    </row>
    <row r="51" spans="2:7" hidden="1" x14ac:dyDescent="0.2">
      <c r="B51" s="4"/>
      <c r="C51" s="4"/>
      <c r="E51" s="14"/>
      <c r="F51" s="5"/>
    </row>
    <row r="52" spans="2:7" hidden="1" x14ac:dyDescent="0.2">
      <c r="B52" s="4"/>
      <c r="C52" s="4"/>
      <c r="E52" s="14"/>
      <c r="F52" s="5"/>
    </row>
    <row r="59" spans="2:7" hidden="1" x14ac:dyDescent="0.2">
      <c r="G59" s="2">
        <v>2455.15</v>
      </c>
    </row>
  </sheetData>
  <sheetProtection formatCells="0" formatColumns="0" formatRows="0" insertHyperlinks="0"/>
  <mergeCells count="5">
    <mergeCell ref="C42:E42"/>
    <mergeCell ref="B3:B4"/>
    <mergeCell ref="B33:D33"/>
    <mergeCell ref="B34:D34"/>
    <mergeCell ref="C8:E8"/>
  </mergeCells>
  <phoneticPr fontId="0" type="noConversion"/>
  <dataValidations count="1">
    <dataValidation type="decimal" allowBlank="1" showInputMessage="1" showErrorMessage="1" sqref="C13" xr:uid="{00000000-0002-0000-0000-000004000000}">
      <formula1>0.1</formula1>
      <formula2>1</formula2>
    </dataValidation>
  </dataValidations>
  <hyperlinks>
    <hyperlink ref="B39" r:id="rId1" xr:uid="{00000000-0004-0000-0000-000000000000}"/>
    <hyperlink ref="C40" r:id="rId2" xr:uid="{49735C3E-48BC-4C51-BAD9-AFF3CE902D4F}"/>
  </hyperlinks>
  <printOptions horizontalCentered="1"/>
  <pageMargins left="0" right="0" top="0" bottom="0" header="0" footer="0"/>
  <pageSetup paperSize="9" orientation="landscape" r:id="rId3"/>
  <headerFooter alignWithMargins="0"/>
  <drawing r:id="rId4"/>
  <legacyDrawing r:id="rId5"/>
  <controls>
    <mc:AlternateContent xmlns:mc="http://schemas.openxmlformats.org/markup-compatibility/2006">
      <mc:Choice Requires="x14">
        <control shapeId="19626" r:id="rId6" name="AN_LSt">
          <controlPr defaultSize="0" autoFill="0" autoLine="0" r:id="rId7">
            <anchor>
              <from>
                <xdr:col>1</xdr:col>
                <xdr:colOff>3095625</xdr:colOff>
                <xdr:row>28</xdr:row>
                <xdr:rowOff>219075</xdr:rowOff>
              </from>
              <to>
                <xdr:col>3</xdr:col>
                <xdr:colOff>238125</xdr:colOff>
                <xdr:row>29</xdr:row>
                <xdr:rowOff>190500</xdr:rowOff>
              </to>
            </anchor>
          </controlPr>
        </control>
      </mc:Choice>
      <mc:Fallback>
        <control shapeId="19626" r:id="rId6" name="AN_LSt"/>
      </mc:Fallback>
    </mc:AlternateContent>
    <mc:AlternateContent xmlns:mc="http://schemas.openxmlformats.org/markup-compatibility/2006">
      <mc:Choice Requires="x14">
        <control shapeId="19602" r:id="rId8" name="RenteBox">
          <controlPr defaultSize="0" autoFill="0" autoLine="0" r:id="rId9">
            <anchor>
              <from>
                <xdr:col>1</xdr:col>
                <xdr:colOff>3105150</xdr:colOff>
                <xdr:row>28</xdr:row>
                <xdr:rowOff>19050</xdr:rowOff>
              </from>
              <to>
                <xdr:col>3</xdr:col>
                <xdr:colOff>247650</xdr:colOff>
                <xdr:row>28</xdr:row>
                <xdr:rowOff>209550</xdr:rowOff>
              </to>
            </anchor>
          </controlPr>
        </control>
      </mc:Choice>
      <mc:Fallback>
        <control shapeId="19602" r:id="rId8" name="RenteBox"/>
      </mc:Fallback>
    </mc:AlternateContent>
    <mc:AlternateContent xmlns:mc="http://schemas.openxmlformats.org/markup-compatibility/2006">
      <mc:Choice Requires="x14">
        <control shapeId="19601" r:id="rId10" name="GleitzonenBox">
          <controlPr defaultSize="0" autoFill="0" autoLine="0" r:id="rId11">
            <anchor>
              <from>
                <xdr:col>1</xdr:col>
                <xdr:colOff>19050</xdr:colOff>
                <xdr:row>28</xdr:row>
                <xdr:rowOff>180975</xdr:rowOff>
              </from>
              <to>
                <xdr:col>1</xdr:col>
                <xdr:colOff>2762250</xdr:colOff>
                <xdr:row>29</xdr:row>
                <xdr:rowOff>190500</xdr:rowOff>
              </to>
            </anchor>
          </controlPr>
        </control>
      </mc:Choice>
      <mc:Fallback>
        <control shapeId="19601" r:id="rId10" name="GleitzonenBox"/>
      </mc:Fallback>
    </mc:AlternateContent>
    <mc:AlternateContent xmlns:mc="http://schemas.openxmlformats.org/markup-compatibility/2006">
      <mc:Choice Requires="x14">
        <control shapeId="19629" r:id="rId12" name="ComboBox1">
          <controlPr defaultSize="0" autoLine="0" autoPict="0" linkedCell="C12" listFillRange="J1:J6" r:id="rId13">
            <anchor moveWithCells="1">
              <from>
                <xdr:col>2</xdr:col>
                <xdr:colOff>47625</xdr:colOff>
                <xdr:row>11</xdr:row>
                <xdr:rowOff>19050</xdr:rowOff>
              </from>
              <to>
                <xdr:col>2</xdr:col>
                <xdr:colOff>1019175</xdr:colOff>
                <xdr:row>11</xdr:row>
                <xdr:rowOff>238125</xdr:rowOff>
              </to>
            </anchor>
          </controlPr>
        </control>
      </mc:Choice>
      <mc:Fallback>
        <control shapeId="19629" r:id="rId12" name="ComboBox1"/>
      </mc:Fallback>
    </mc:AlternateContent>
    <mc:AlternateContent xmlns:mc="http://schemas.openxmlformats.org/markup-compatibility/2006">
      <mc:Choice Requires="x14">
        <control shapeId="19631" r:id="rId14" name="ComboBox2">
          <controlPr defaultSize="0" autoLine="0" autoPict="0" linkedCell="C14" listFillRange="L1:L2" r:id="rId15">
            <anchor moveWithCells="1">
              <from>
                <xdr:col>2</xdr:col>
                <xdr:colOff>38100</xdr:colOff>
                <xdr:row>13</xdr:row>
                <xdr:rowOff>28575</xdr:rowOff>
              </from>
              <to>
                <xdr:col>2</xdr:col>
                <xdr:colOff>1009650</xdr:colOff>
                <xdr:row>13</xdr:row>
                <xdr:rowOff>247650</xdr:rowOff>
              </to>
            </anchor>
          </controlPr>
        </control>
      </mc:Choice>
      <mc:Fallback>
        <control shapeId="19631" r:id="rId14" name="ComboBox2"/>
      </mc:Fallback>
    </mc:AlternateContent>
    <mc:AlternateContent xmlns:mc="http://schemas.openxmlformats.org/markup-compatibility/2006">
      <mc:Choice Requires="x14">
        <control shapeId="19633" r:id="rId16" name="ComboBox3">
          <controlPr defaultSize="0" autoLine="0" linkedCell="C15" listFillRange="L1:L2" r:id="rId17">
            <anchor moveWithCells="1">
              <from>
                <xdr:col>2</xdr:col>
                <xdr:colOff>38100</xdr:colOff>
                <xdr:row>14</xdr:row>
                <xdr:rowOff>19050</xdr:rowOff>
              </from>
              <to>
                <xdr:col>2</xdr:col>
                <xdr:colOff>1009650</xdr:colOff>
                <xdr:row>15</xdr:row>
                <xdr:rowOff>0</xdr:rowOff>
              </to>
            </anchor>
          </controlPr>
        </control>
      </mc:Choice>
      <mc:Fallback>
        <control shapeId="19633" r:id="rId16" name="ComboBox3"/>
      </mc:Fallback>
    </mc:AlternateContent>
    <mc:AlternateContent xmlns:mc="http://schemas.openxmlformats.org/markup-compatibility/2006">
      <mc:Choice Requires="x14">
        <control shapeId="19635" r:id="rId18" name="ComboBox4">
          <controlPr defaultSize="0" autoLine="0" linkedCell="C16" listFillRange="L1:L2" r:id="rId19">
            <anchor moveWithCells="1">
              <from>
                <xdr:col>2</xdr:col>
                <xdr:colOff>47625</xdr:colOff>
                <xdr:row>15</xdr:row>
                <xdr:rowOff>19050</xdr:rowOff>
              </from>
              <to>
                <xdr:col>2</xdr:col>
                <xdr:colOff>1019175</xdr:colOff>
                <xdr:row>16</xdr:row>
                <xdr:rowOff>0</xdr:rowOff>
              </to>
            </anchor>
          </controlPr>
        </control>
      </mc:Choice>
      <mc:Fallback>
        <control shapeId="19635" r:id="rId18" name="ComboBox4"/>
      </mc:Fallback>
    </mc:AlternateContent>
    <mc:AlternateContent xmlns:mc="http://schemas.openxmlformats.org/markup-compatibility/2006">
      <mc:Choice Requires="x14">
        <control shapeId="19637" r:id="rId20" name="ComboBox5">
          <controlPr defaultSize="0" autoLine="0" linkedCell="C20" listFillRange="L1:L2" r:id="rId21">
            <anchor moveWithCells="1">
              <from>
                <xdr:col>2</xdr:col>
                <xdr:colOff>47625</xdr:colOff>
                <xdr:row>19</xdr:row>
                <xdr:rowOff>9525</xdr:rowOff>
              </from>
              <to>
                <xdr:col>2</xdr:col>
                <xdr:colOff>1019175</xdr:colOff>
                <xdr:row>20</xdr:row>
                <xdr:rowOff>0</xdr:rowOff>
              </to>
            </anchor>
          </controlPr>
        </control>
      </mc:Choice>
      <mc:Fallback>
        <control shapeId="19637" r:id="rId20" name="ComboBox5"/>
      </mc:Fallback>
    </mc:AlternateContent>
    <mc:AlternateContent xmlns:mc="http://schemas.openxmlformats.org/markup-compatibility/2006">
      <mc:Choice Requires="x14">
        <control shapeId="19639" r:id="rId22" name="ComboBox6">
          <controlPr defaultSize="0" autoLine="0" linkedCell="C21" listFillRange="L1:L2" r:id="rId23">
            <anchor moveWithCells="1">
              <from>
                <xdr:col>2</xdr:col>
                <xdr:colOff>47625</xdr:colOff>
                <xdr:row>20</xdr:row>
                <xdr:rowOff>28575</xdr:rowOff>
              </from>
              <to>
                <xdr:col>2</xdr:col>
                <xdr:colOff>1019175</xdr:colOff>
                <xdr:row>20</xdr:row>
                <xdr:rowOff>247650</xdr:rowOff>
              </to>
            </anchor>
          </controlPr>
        </control>
      </mc:Choice>
      <mc:Fallback>
        <control shapeId="19639" r:id="rId22" name="ComboBox6"/>
      </mc:Fallback>
    </mc:AlternateContent>
    <mc:AlternateContent xmlns:mc="http://schemas.openxmlformats.org/markup-compatibility/2006">
      <mc:Choice Requires="x14">
        <control shapeId="19642" r:id="rId24" name="ComboBox7">
          <controlPr defaultSize="0" autoLine="0" linkedCell="C22" listFillRange="L1:L2" r:id="rId25">
            <anchor moveWithCells="1">
              <from>
                <xdr:col>2</xdr:col>
                <xdr:colOff>47625</xdr:colOff>
                <xdr:row>21</xdr:row>
                <xdr:rowOff>28575</xdr:rowOff>
              </from>
              <to>
                <xdr:col>2</xdr:col>
                <xdr:colOff>1019175</xdr:colOff>
                <xdr:row>21</xdr:row>
                <xdr:rowOff>247650</xdr:rowOff>
              </to>
            </anchor>
          </controlPr>
        </control>
      </mc:Choice>
      <mc:Fallback>
        <control shapeId="19642" r:id="rId24" name="ComboBox7"/>
      </mc:Fallback>
    </mc:AlternateContent>
    <mc:AlternateContent xmlns:mc="http://schemas.openxmlformats.org/markup-compatibility/2006">
      <mc:Choice Requires="x14">
        <control shapeId="19644" r:id="rId26" name="ComboBox8">
          <controlPr defaultSize="0" autoLine="0" linkedCell="C23" listFillRange="L1:L2" r:id="rId27">
            <anchor moveWithCells="1">
              <from>
                <xdr:col>2</xdr:col>
                <xdr:colOff>47625</xdr:colOff>
                <xdr:row>22</xdr:row>
                <xdr:rowOff>38100</xdr:rowOff>
              </from>
              <to>
                <xdr:col>2</xdr:col>
                <xdr:colOff>1019175</xdr:colOff>
                <xdr:row>22</xdr:row>
                <xdr:rowOff>257175</xdr:rowOff>
              </to>
            </anchor>
          </controlPr>
        </control>
      </mc:Choice>
      <mc:Fallback>
        <control shapeId="19644" r:id="rId26" name="ComboBox8"/>
      </mc:Fallback>
    </mc:AlternateContent>
    <mc:AlternateContent xmlns:mc="http://schemas.openxmlformats.org/markup-compatibility/2006">
      <mc:Choice Requires="x14">
        <control shapeId="19646" r:id="rId28" name="ComboBox9">
          <controlPr defaultSize="0" autoLine="0" linkedCell="C24" listFillRange="K1:K3" r:id="rId29">
            <anchor moveWithCells="1">
              <from>
                <xdr:col>2</xdr:col>
                <xdr:colOff>47625</xdr:colOff>
                <xdr:row>23</xdr:row>
                <xdr:rowOff>19050</xdr:rowOff>
              </from>
              <to>
                <xdr:col>2</xdr:col>
                <xdr:colOff>1019175</xdr:colOff>
                <xdr:row>23</xdr:row>
                <xdr:rowOff>238125</xdr:rowOff>
              </to>
            </anchor>
          </controlPr>
        </control>
      </mc:Choice>
      <mc:Fallback>
        <control shapeId="19646" r:id="rId28" name="ComboBox9"/>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U74"/>
  <sheetViews>
    <sheetView showGridLines="0" defaultGridColor="0" colorId="46" zoomScale="90" zoomScaleNormal="90" zoomScaleSheetLayoutView="70" workbookViewId="0">
      <selection activeCell="H1" sqref="H1"/>
    </sheetView>
  </sheetViews>
  <sheetFormatPr baseColWidth="10" defaultColWidth="11.42578125" defaultRowHeight="12.75" zeroHeight="1" x14ac:dyDescent="0.2"/>
  <cols>
    <col min="1" max="1" width="1.85546875" style="58" customWidth="1"/>
    <col min="2" max="2" width="9.7109375" style="58" customWidth="1"/>
    <col min="3" max="3" width="25.140625" style="58" customWidth="1"/>
    <col min="4" max="4" width="8.7109375" style="58" customWidth="1"/>
    <col min="5" max="5" width="18.5703125" style="59" customWidth="1"/>
    <col min="6" max="6" width="15.5703125" style="58" customWidth="1"/>
    <col min="7" max="7" width="16.140625" style="60" customWidth="1"/>
    <col min="8" max="8" width="21.42578125" style="58" customWidth="1"/>
    <col min="9" max="9" width="20.140625" style="58" customWidth="1"/>
    <col min="10" max="10" width="16" style="58" customWidth="1"/>
    <col min="11" max="11" width="15.85546875" style="58" customWidth="1"/>
    <col min="12" max="12" width="17.7109375" style="58" customWidth="1"/>
    <col min="13" max="13" width="15.140625" style="58" customWidth="1"/>
    <col min="14" max="14" width="13.85546875" style="58" customWidth="1"/>
    <col min="15" max="15" width="16.5703125" style="58" customWidth="1"/>
    <col min="16" max="16" width="33.85546875" style="58" bestFit="1" customWidth="1"/>
    <col min="17" max="17" width="20.7109375" style="58" bestFit="1" customWidth="1"/>
    <col min="18" max="18" width="11.42578125" style="58" customWidth="1"/>
    <col min="19" max="19" width="16.7109375" style="58" customWidth="1"/>
    <col min="20" max="20" width="11.42578125" style="58" customWidth="1"/>
    <col min="21" max="16384" width="11.42578125" style="58"/>
  </cols>
  <sheetData>
    <row r="1" spans="1:21" ht="32.25" customHeight="1" x14ac:dyDescent="0.3">
      <c r="B1" s="566" t="s">
        <v>212</v>
      </c>
      <c r="C1" s="567"/>
      <c r="D1" s="567"/>
      <c r="E1" s="56"/>
      <c r="F1" s="56"/>
      <c r="G1" s="57"/>
      <c r="H1" s="56"/>
      <c r="I1" s="310" t="s">
        <v>384</v>
      </c>
      <c r="J1" s="227"/>
      <c r="K1" s="227"/>
      <c r="L1" s="230"/>
      <c r="O1" s="540" t="s">
        <v>370</v>
      </c>
      <c r="R1" s="358"/>
      <c r="S1" s="359"/>
      <c r="T1" s="360" t="s">
        <v>205</v>
      </c>
      <c r="U1" s="58" t="s">
        <v>205</v>
      </c>
    </row>
    <row r="2" spans="1:21" ht="24.75" customHeight="1" x14ac:dyDescent="0.25">
      <c r="B2" s="263" t="s">
        <v>192</v>
      </c>
      <c r="C2" s="279" t="s">
        <v>67</v>
      </c>
      <c r="D2" s="308" t="s">
        <v>206</v>
      </c>
      <c r="F2" s="44"/>
      <c r="G2" s="143" t="s">
        <v>61</v>
      </c>
      <c r="I2" s="500" t="s">
        <v>354</v>
      </c>
      <c r="J2" s="230"/>
      <c r="K2" s="230"/>
      <c r="L2" s="230"/>
      <c r="R2" s="361" t="s">
        <v>13</v>
      </c>
      <c r="S2" s="65" t="s">
        <v>213</v>
      </c>
      <c r="T2" s="362" t="s">
        <v>214</v>
      </c>
    </row>
    <row r="3" spans="1:21" ht="18.75" customHeight="1" x14ac:dyDescent="0.2">
      <c r="B3" s="264" t="s">
        <v>19</v>
      </c>
      <c r="C3" s="267" t="str">
        <f>IF(Stammdaten!B6="","",Stammdaten!B6)</f>
        <v>Werner</v>
      </c>
      <c r="E3" s="137" t="s">
        <v>94</v>
      </c>
      <c r="J3" s="63"/>
      <c r="N3" s="222"/>
      <c r="O3" s="114"/>
      <c r="P3" s="541"/>
      <c r="R3" s="361" t="s">
        <v>62</v>
      </c>
      <c r="S3" s="65" t="s">
        <v>213</v>
      </c>
      <c r="T3" s="362" t="s">
        <v>205</v>
      </c>
    </row>
    <row r="4" spans="1:21" ht="15.75" customHeight="1" x14ac:dyDescent="0.2">
      <c r="B4" s="265" t="s">
        <v>20</v>
      </c>
      <c r="C4" s="267" t="str">
        <f>IF(Stammdaten!B7="","",Stammdaten!B7)</f>
        <v/>
      </c>
      <c r="D4" s="65"/>
      <c r="E4" s="276">
        <f>Stammdaten!$C$25</f>
        <v>22302</v>
      </c>
      <c r="G4" s="304"/>
      <c r="J4" s="63"/>
      <c r="N4" s="222"/>
      <c r="R4" s="361" t="s">
        <v>14</v>
      </c>
      <c r="S4" s="65"/>
      <c r="T4" s="362"/>
    </row>
    <row r="5" spans="1:21" ht="14.25" customHeight="1" x14ac:dyDescent="0.2">
      <c r="B5" s="265" t="s">
        <v>21</v>
      </c>
      <c r="C5" s="267" t="str">
        <f>IF(Stammdaten!B8="","",Stammdaten!B8)</f>
        <v/>
      </c>
      <c r="D5" s="65"/>
      <c r="E5" s="128" t="s">
        <v>95</v>
      </c>
      <c r="G5" s="66"/>
      <c r="I5" s="67"/>
      <c r="J5" s="122"/>
      <c r="K5" s="123"/>
      <c r="L5" s="123"/>
      <c r="R5" s="361" t="s">
        <v>15</v>
      </c>
      <c r="S5" s="65"/>
      <c r="T5" s="362"/>
    </row>
    <row r="6" spans="1:21" ht="13.5" thickBot="1" x14ac:dyDescent="0.25">
      <c r="B6" s="266" t="s">
        <v>59</v>
      </c>
      <c r="C6" s="268">
        <f ca="1">TODAY()</f>
        <v>44301</v>
      </c>
      <c r="D6" s="113"/>
      <c r="E6" s="276">
        <f>Stammdaten!C28</f>
        <v>37987</v>
      </c>
      <c r="F6" s="278" t="str">
        <f ca="1">DATEDIF(E6,C6,"Y")&amp; " Jahre"</f>
        <v>17 Jahre</v>
      </c>
      <c r="I6" s="68"/>
      <c r="J6" s="68" t="s">
        <v>202</v>
      </c>
      <c r="K6" s="178" t="s">
        <v>200</v>
      </c>
      <c r="L6" s="284"/>
      <c r="R6" s="361" t="s">
        <v>190</v>
      </c>
      <c r="S6" s="65"/>
      <c r="T6" s="362"/>
    </row>
    <row r="7" spans="1:21" ht="18" thickTop="1" thickBot="1" x14ac:dyDescent="0.35">
      <c r="B7" s="64"/>
      <c r="C7" s="269" t="s">
        <v>96</v>
      </c>
      <c r="D7" s="129"/>
      <c r="E7" s="271" t="str">
        <f>Stammdaten!C12</f>
        <v>4</v>
      </c>
      <c r="H7" s="114"/>
      <c r="I7" s="504" t="s">
        <v>216</v>
      </c>
      <c r="J7" s="374">
        <v>2153.2800000000002</v>
      </c>
      <c r="K7" s="373">
        <v>0.19</v>
      </c>
      <c r="L7" s="505">
        <f>ROUNDUP(J7*K7*12,1)</f>
        <v>4909.5</v>
      </c>
      <c r="M7" s="309" t="str">
        <f>"Besteuerungsfrei /Jahr "&amp;gewJahr</f>
        <v>Besteuerungsfrei /Jahr 2021</v>
      </c>
      <c r="N7" s="72"/>
      <c r="O7" s="495"/>
      <c r="P7" s="222" t="s">
        <v>376</v>
      </c>
      <c r="Q7" s="222" t="s">
        <v>377</v>
      </c>
      <c r="R7" s="361" t="s">
        <v>16</v>
      </c>
      <c r="S7" s="65"/>
      <c r="T7" s="362"/>
    </row>
    <row r="8" spans="1:21" ht="13.5" thickTop="1" x14ac:dyDescent="0.2">
      <c r="B8" s="64"/>
      <c r="C8" s="269" t="s">
        <v>22</v>
      </c>
      <c r="D8" s="129"/>
      <c r="E8" s="272" t="str">
        <f>Stammdaten!$C$16</f>
        <v>0</v>
      </c>
      <c r="F8" s="295"/>
      <c r="G8" s="70">
        <v>0</v>
      </c>
      <c r="J8" s="69"/>
      <c r="K8" s="371">
        <f>100%-K7</f>
        <v>0.81</v>
      </c>
      <c r="L8" s="505">
        <f>E16*K8*12</f>
        <v>21024.36</v>
      </c>
      <c r="M8" s="309" t="str">
        <f>"Besteuerungsanteil /Jahr "&amp;gewJahr</f>
        <v>Besteuerungsanteil /Jahr 2021</v>
      </c>
      <c r="N8" s="72"/>
      <c r="O8" s="495"/>
      <c r="P8" s="573">
        <f>IF(AND(T1="Ja",P10&gt;0),ROUND(P9+Q9,2),0)</f>
        <v>0</v>
      </c>
      <c r="Q8" s="574"/>
      <c r="R8" s="361" t="s">
        <v>191</v>
      </c>
      <c r="S8" s="65"/>
      <c r="T8" s="362"/>
    </row>
    <row r="9" spans="1:21" ht="16.5" x14ac:dyDescent="0.3">
      <c r="B9" s="64"/>
      <c r="C9" s="269" t="str">
        <f>IF(AND(Stammdaten!$C$13 &lt; 1,Stammdaten!$C$12 = 4),"Ehegattenfaktor (nur bei StKl IV)","")</f>
        <v/>
      </c>
      <c r="D9" s="129"/>
      <c r="E9" s="273" t="str">
        <f>IF(AND(Stammdaten!$C$13&lt;1,$E$7=4),Stammdaten!$C$13,"")</f>
        <v/>
      </c>
      <c r="F9" s="295"/>
      <c r="G9" s="289" t="s">
        <v>178</v>
      </c>
      <c r="I9" s="504" t="str">
        <f>IF(T1="Ja","Betriebsrente →","")</f>
        <v/>
      </c>
      <c r="J9" s="372">
        <v>10</v>
      </c>
      <c r="K9" s="506">
        <f>J9*12</f>
        <v>120</v>
      </c>
      <c r="L9" s="466"/>
      <c r="M9" s="309" t="str">
        <f>"Besteuerungsanteil /Jahr "&amp;gewJahr</f>
        <v>Besteuerungsanteil /Jahr 2021</v>
      </c>
      <c r="P9" s="498">
        <f>IFERROR(VLOOKUP(gewJahr,Vorsorgetabelle!A6:D40,4,FALSE),"")</f>
        <v>342</v>
      </c>
      <c r="Q9" s="499">
        <f>Vorsorgetabelle!H4</f>
        <v>18.239999999999998</v>
      </c>
      <c r="R9" s="497" t="s">
        <v>63</v>
      </c>
      <c r="S9" s="65"/>
      <c r="T9" s="362"/>
    </row>
    <row r="10" spans="1:21" ht="22.5" customHeight="1" x14ac:dyDescent="0.2">
      <c r="B10" s="64"/>
      <c r="C10" s="269" t="s">
        <v>93</v>
      </c>
      <c r="D10" s="129"/>
      <c r="E10" s="274">
        <f>IF(Stammdaten!$C$17&gt;20,"privat",Stammdaten!$C$17/100)</f>
        <v>0.14599999999999999</v>
      </c>
      <c r="F10" s="296"/>
      <c r="G10" s="290" t="s">
        <v>179</v>
      </c>
      <c r="I10" s="223" t="s">
        <v>196</v>
      </c>
      <c r="J10" s="240">
        <v>860</v>
      </c>
      <c r="K10" s="226" t="s">
        <v>199</v>
      </c>
      <c r="N10" s="114"/>
      <c r="P10" s="508">
        <f>IF(K9&gt;Q10,Q10,0)</f>
        <v>30.02</v>
      </c>
      <c r="Q10" s="507">
        <f>SUM(P9:Q9)/12</f>
        <v>30.02</v>
      </c>
      <c r="R10" s="497" t="s">
        <v>64</v>
      </c>
      <c r="S10" s="65"/>
      <c r="T10" s="362"/>
    </row>
    <row r="11" spans="1:21" ht="25.5" customHeight="1" x14ac:dyDescent="0.2">
      <c r="B11" s="64"/>
      <c r="C11" s="269" t="s">
        <v>161</v>
      </c>
      <c r="D11" s="212"/>
      <c r="E11" s="274">
        <f>IF(Stammdaten!$C$17&gt;20,"privat",Stammdaten!$C$18/100)</f>
        <v>1.2E-2</v>
      </c>
      <c r="F11" s="281" t="str">
        <f>IF(G9="RV-frei","","Krankheitstage")</f>
        <v/>
      </c>
      <c r="G11" s="197">
        <v>0</v>
      </c>
      <c r="I11" s="223" t="s">
        <v>196</v>
      </c>
      <c r="K11" t="s">
        <v>198</v>
      </c>
      <c r="M11" s="357">
        <f>IF(U1="Ja",J12,0)</f>
        <v>0</v>
      </c>
      <c r="N11" s="357">
        <f>IF(U1="Ja",O16,0)</f>
        <v>0</v>
      </c>
      <c r="R11" s="361" t="s">
        <v>65</v>
      </c>
      <c r="S11" s="65"/>
      <c r="T11" s="362"/>
    </row>
    <row r="12" spans="1:21" ht="19.5" customHeight="1" x14ac:dyDescent="0.2">
      <c r="B12" s="64"/>
      <c r="C12" s="270" t="s">
        <v>23</v>
      </c>
      <c r="D12" s="204" t="s">
        <v>5</v>
      </c>
      <c r="E12" s="275">
        <f>Stammdaten!$C$26</f>
        <v>5769.5</v>
      </c>
      <c r="F12" s="538" t="str">
        <f>IF(G9="RV-frei","","Urlaubstage")</f>
        <v/>
      </c>
      <c r="G12" s="239">
        <v>0</v>
      </c>
      <c r="I12" s="367" t="s">
        <v>215</v>
      </c>
      <c r="J12" s="240">
        <v>102</v>
      </c>
      <c r="K12" t="str">
        <f>IF(M11=J12,"Werbungkostenpauschbetrag "&amp;J12&amp;" € ","keine Werbungkostenpauschbetrag" )</f>
        <v>keine Werbungkostenpauschbetrag</v>
      </c>
      <c r="O12" s="467" t="str">
        <f>IF(P8&gt;0,"Versorgungsfreibetrag Nur bei Betreiebsrente","")</f>
        <v/>
      </c>
      <c r="P12" s="322"/>
      <c r="Q12" s="322"/>
      <c r="R12" s="361" t="s">
        <v>66</v>
      </c>
      <c r="S12" s="65"/>
      <c r="T12" s="362"/>
    </row>
    <row r="13" spans="1:21" x14ac:dyDescent="0.2">
      <c r="B13" s="64"/>
      <c r="C13" s="270" t="s">
        <v>11</v>
      </c>
      <c r="D13" s="204" t="s">
        <v>5</v>
      </c>
      <c r="E13" s="275">
        <f>Stammdaten!$C$27</f>
        <v>0</v>
      </c>
      <c r="F13" s="281" t="str">
        <f>IF(G9="RV-frei","","Resturlaub")</f>
        <v/>
      </c>
      <c r="G13" s="239">
        <v>0</v>
      </c>
      <c r="I13" s="223" t="s">
        <v>197</v>
      </c>
      <c r="J13" s="285">
        <f>L7</f>
        <v>4909.5</v>
      </c>
      <c r="K13" s="224">
        <f>SUM(J13,J10,P8,O18)</f>
        <v>5769.5</v>
      </c>
      <c r="L13" s="259" t="str">
        <f>"€ pro Jahr  "&amp;gewJahr</f>
        <v>€ pro Jahr  2021</v>
      </c>
      <c r="M13" s="471">
        <f>K13/12</f>
        <v>480.79166666666669</v>
      </c>
      <c r="N13" s="58" t="s">
        <v>217</v>
      </c>
      <c r="O13" s="224">
        <f>((SUM(J7,J9)*12)-K13)/12</f>
        <v>1682.4883333333335</v>
      </c>
      <c r="P13" s="495">
        <f>G16+G17+G18+G19+G20+G21+G22+G23+G24+G25-M13+J9</f>
        <v>1782.2083333333333</v>
      </c>
      <c r="R13" s="361" t="s">
        <v>67</v>
      </c>
      <c r="S13" s="65"/>
      <c r="T13" s="362"/>
    </row>
    <row r="14" spans="1:21" ht="5.25" customHeight="1" x14ac:dyDescent="0.2">
      <c r="B14" s="72"/>
      <c r="C14" s="130"/>
      <c r="D14" s="130"/>
      <c r="E14" s="73"/>
      <c r="F14" s="72"/>
      <c r="G14" s="74"/>
      <c r="H14" s="69"/>
      <c r="R14" s="363"/>
      <c r="S14" s="65"/>
      <c r="T14" s="362"/>
    </row>
    <row r="15" spans="1:21" ht="13.5" customHeight="1" thickBot="1" x14ac:dyDescent="0.25">
      <c r="A15" s="69"/>
      <c r="B15" s="179"/>
      <c r="C15" s="180"/>
      <c r="D15" s="131"/>
      <c r="E15" s="117"/>
      <c r="F15" s="79"/>
      <c r="G15" s="181"/>
      <c r="H15" s="503" t="s">
        <v>355</v>
      </c>
      <c r="I15" s="367" t="s">
        <v>215</v>
      </c>
      <c r="J15" s="370">
        <f>J9*12</f>
        <v>120</v>
      </c>
      <c r="K15" s="479" t="s">
        <v>182</v>
      </c>
      <c r="M15" s="58" t="str">
        <f>C2&amp;" € / Monat"</f>
        <v>Dezember € / Monat</v>
      </c>
      <c r="N15" s="114"/>
      <c r="R15" s="363"/>
      <c r="S15" s="65"/>
      <c r="T15" s="362"/>
    </row>
    <row r="16" spans="1:21" ht="13.5" x14ac:dyDescent="0.25">
      <c r="A16" s="69"/>
      <c r="B16" s="182"/>
      <c r="C16" s="280" t="s">
        <v>195</v>
      </c>
      <c r="D16" s="303">
        <v>1</v>
      </c>
      <c r="E16" s="501">
        <f>ROUND(SUM(J7,J9),0)</f>
        <v>2163</v>
      </c>
      <c r="F16" s="203" t="s">
        <v>75</v>
      </c>
      <c r="G16" s="215">
        <v>2253</v>
      </c>
      <c r="H16" s="502">
        <f>J7+J9</f>
        <v>2163.2800000000002</v>
      </c>
      <c r="I16" s="214"/>
      <c r="J16" s="114"/>
      <c r="K16" s="114"/>
      <c r="O16" s="491">
        <v>36</v>
      </c>
      <c r="R16" s="363"/>
      <c r="S16" s="65"/>
      <c r="T16" s="362"/>
    </row>
    <row r="17" spans="1:20" ht="13.5" thickBot="1" x14ac:dyDescent="0.25">
      <c r="A17" s="69"/>
      <c r="B17" s="182"/>
      <c r="C17" s="281" t="s">
        <v>76</v>
      </c>
      <c r="D17" s="154"/>
      <c r="E17" s="155"/>
      <c r="F17" s="155"/>
      <c r="G17" s="183"/>
      <c r="H17" s="69"/>
      <c r="I17" s="291" t="s">
        <v>77</v>
      </c>
      <c r="J17" s="97"/>
      <c r="O17" s="492">
        <v>102</v>
      </c>
      <c r="R17" s="363"/>
      <c r="S17" s="65"/>
      <c r="T17" s="362"/>
    </row>
    <row r="18" spans="1:20" x14ac:dyDescent="0.2">
      <c r="A18" s="69"/>
      <c r="B18" s="182"/>
      <c r="C18" s="281"/>
      <c r="D18" s="154"/>
      <c r="E18" s="369"/>
      <c r="F18" s="368"/>
      <c r="G18" s="215"/>
      <c r="H18" s="69"/>
      <c r="I18" s="138" t="s">
        <v>77</v>
      </c>
      <c r="J18" s="97"/>
      <c r="M18" s="69"/>
      <c r="N18" s="80"/>
      <c r="O18" s="177">
        <f>IF(U1="Ja",SUM(O16:O17),0)</f>
        <v>0</v>
      </c>
      <c r="R18" s="363"/>
      <c r="S18" s="65"/>
      <c r="T18" s="362"/>
    </row>
    <row r="19" spans="1:20" ht="14.25" customHeight="1" x14ac:dyDescent="0.2">
      <c r="A19" s="69"/>
      <c r="B19" s="182"/>
      <c r="C19" s="281"/>
      <c r="D19" s="133" t="s">
        <v>31</v>
      </c>
      <c r="E19" s="164" t="s">
        <v>32</v>
      </c>
      <c r="F19" s="368"/>
      <c r="G19" s="215"/>
      <c r="H19" s="69"/>
      <c r="I19" s="138" t="s">
        <v>77</v>
      </c>
      <c r="J19" s="71"/>
      <c r="M19" s="69"/>
      <c r="N19" s="80"/>
      <c r="O19" s="177"/>
      <c r="R19" s="363"/>
      <c r="S19" s="65"/>
      <c r="T19" s="362"/>
    </row>
    <row r="20" spans="1:20" ht="13.5" thickBot="1" x14ac:dyDescent="0.25">
      <c r="A20" s="69"/>
      <c r="B20" s="182"/>
      <c r="C20" s="281" t="s">
        <v>89</v>
      </c>
      <c r="D20" s="243">
        <v>0</v>
      </c>
      <c r="E20" s="244">
        <v>0</v>
      </c>
      <c r="F20" s="69"/>
      <c r="G20" s="184">
        <f>D20*E20</f>
        <v>0</v>
      </c>
      <c r="H20" s="69"/>
      <c r="I20" s="138" t="s">
        <v>77</v>
      </c>
      <c r="M20" s="177">
        <f>L8-J10-O16-O17-M33-M36</f>
        <v>17098.822</v>
      </c>
      <c r="N20" s="177">
        <f>M20/12</f>
        <v>1424.9018333333333</v>
      </c>
      <c r="O20" s="177"/>
      <c r="R20" s="364"/>
      <c r="S20" s="365"/>
      <c r="T20" s="366"/>
    </row>
    <row r="21" spans="1:20" x14ac:dyDescent="0.2">
      <c r="A21" s="69"/>
      <c r="B21" s="182"/>
      <c r="C21" s="281" t="s">
        <v>90</v>
      </c>
      <c r="D21" s="241">
        <v>0</v>
      </c>
      <c r="E21" s="242">
        <v>0</v>
      </c>
      <c r="F21" s="69"/>
      <c r="G21" s="184">
        <f>D21*E21</f>
        <v>0</v>
      </c>
      <c r="H21" s="69"/>
      <c r="I21" s="138" t="s">
        <v>77</v>
      </c>
    </row>
    <row r="22" spans="1:20" x14ac:dyDescent="0.2">
      <c r="A22" s="69"/>
      <c r="B22" s="182"/>
      <c r="C22" s="281" t="s">
        <v>42</v>
      </c>
      <c r="D22" s="154"/>
      <c r="E22" s="155"/>
      <c r="F22" s="155"/>
      <c r="G22" s="183"/>
      <c r="H22" s="69"/>
      <c r="I22" s="138" t="s">
        <v>78</v>
      </c>
    </row>
    <row r="23" spans="1:20" x14ac:dyDescent="0.2">
      <c r="A23" s="69"/>
      <c r="B23" s="182"/>
      <c r="C23" s="281" t="s">
        <v>82</v>
      </c>
      <c r="D23" s="154"/>
      <c r="E23" s="155"/>
      <c r="F23" s="155"/>
      <c r="G23" s="183">
        <v>0</v>
      </c>
      <c r="H23" s="69"/>
      <c r="I23" s="138" t="s">
        <v>78</v>
      </c>
      <c r="K23" s="258" t="s">
        <v>184</v>
      </c>
    </row>
    <row r="24" spans="1:20" x14ac:dyDescent="0.2">
      <c r="A24" s="69"/>
      <c r="B24" s="182"/>
      <c r="C24" s="281" t="s">
        <v>91</v>
      </c>
      <c r="D24" s="154"/>
      <c r="E24" s="155"/>
      <c r="F24" s="155"/>
      <c r="G24" s="183">
        <v>0</v>
      </c>
      <c r="H24" s="69"/>
      <c r="I24" s="138" t="s">
        <v>79</v>
      </c>
      <c r="J24" s="262"/>
      <c r="K24" s="334" t="s">
        <v>207</v>
      </c>
      <c r="L24" s="335" t="s">
        <v>189</v>
      </c>
      <c r="M24" s="324"/>
      <c r="N24" s="314" t="s">
        <v>180</v>
      </c>
      <c r="O24" s="315"/>
    </row>
    <row r="25" spans="1:20" x14ac:dyDescent="0.2">
      <c r="A25" s="69"/>
      <c r="B25" s="182"/>
      <c r="C25" s="281" t="s">
        <v>92</v>
      </c>
      <c r="D25" s="154"/>
      <c r="E25" s="155"/>
      <c r="F25" s="155"/>
      <c r="G25" s="183">
        <v>0</v>
      </c>
      <c r="H25" s="516" t="s">
        <v>360</v>
      </c>
      <c r="I25" s="354" t="s">
        <v>79</v>
      </c>
      <c r="K25" s="336" t="s">
        <v>180</v>
      </c>
      <c r="L25" s="337"/>
      <c r="M25" s="325" t="s">
        <v>188</v>
      </c>
      <c r="N25" s="316" t="s">
        <v>182</v>
      </c>
      <c r="O25" s="317"/>
    </row>
    <row r="26" spans="1:20" ht="12.75" customHeight="1" x14ac:dyDescent="0.25">
      <c r="A26" s="69"/>
      <c r="B26" s="182"/>
      <c r="C26" s="570" t="s">
        <v>162</v>
      </c>
      <c r="D26" s="571"/>
      <c r="E26" s="571"/>
      <c r="F26" s="572"/>
      <c r="G26" s="216">
        <f>G16+G17+G18+G19+G20+G21+G22+G23+G24+G25-M13</f>
        <v>1772.2083333333333</v>
      </c>
      <c r="H26" s="326">
        <f>(G26*12)</f>
        <v>21266.5</v>
      </c>
      <c r="I26" s="346" t="s">
        <v>211</v>
      </c>
      <c r="J26" s="346" t="s">
        <v>208</v>
      </c>
      <c r="K26" s="69"/>
      <c r="L26" s="339"/>
      <c r="M26" s="326">
        <f>G27*12</f>
        <v>27036</v>
      </c>
      <c r="N26" s="69"/>
      <c r="O26" s="318" t="s">
        <v>189</v>
      </c>
    </row>
    <row r="27" spans="1:20" ht="13.5" x14ac:dyDescent="0.25">
      <c r="A27" s="69"/>
      <c r="B27" s="185"/>
      <c r="C27" s="294" t="s">
        <v>147</v>
      </c>
      <c r="D27" s="175"/>
      <c r="E27" s="176"/>
      <c r="F27" s="175"/>
      <c r="G27" s="186">
        <v>2253</v>
      </c>
      <c r="H27" s="69"/>
      <c r="I27" s="355"/>
      <c r="J27" s="347" t="s">
        <v>209</v>
      </c>
      <c r="K27" s="69"/>
      <c r="L27" s="339"/>
      <c r="M27" s="327">
        <f>(G27*12)-K13-M42</f>
        <v>18338.962</v>
      </c>
      <c r="N27" s="260">
        <v>17100</v>
      </c>
      <c r="O27" s="319">
        <f>N27-M27</f>
        <v>-1238.9619999999995</v>
      </c>
      <c r="P27" s="114">
        <f>N27/12+102-J9</f>
        <v>1517</v>
      </c>
      <c r="Q27" s="539">
        <f>N27/12</f>
        <v>1425</v>
      </c>
      <c r="R27" s="508">
        <f>N29-Q27</f>
        <v>100</v>
      </c>
    </row>
    <row r="28" spans="1:20" ht="3" customHeight="1" x14ac:dyDescent="0.2">
      <c r="A28" s="69"/>
      <c r="B28" s="179"/>
      <c r="C28" s="180"/>
      <c r="D28" s="79"/>
      <c r="E28" s="187"/>
      <c r="F28" s="79"/>
      <c r="G28" s="181"/>
      <c r="H28" s="75"/>
      <c r="I28" s="356"/>
      <c r="J28" s="348"/>
      <c r="K28" s="69"/>
      <c r="L28" s="339"/>
      <c r="M28" s="328"/>
      <c r="N28" s="69"/>
      <c r="O28" s="317"/>
    </row>
    <row r="29" spans="1:20" ht="15.75" x14ac:dyDescent="0.3">
      <c r="A29" s="69"/>
      <c r="B29" s="182"/>
      <c r="C29" s="132"/>
      <c r="D29" s="129" t="s">
        <v>46</v>
      </c>
      <c r="E29" s="81"/>
      <c r="F29" s="82"/>
      <c r="G29" s="480">
        <v>152.91</v>
      </c>
      <c r="H29" s="515">
        <f>G29*1/G27</f>
        <v>6.786950732356857E-2</v>
      </c>
      <c r="I29" s="546">
        <f>G29</f>
        <v>152.91</v>
      </c>
      <c r="J29" s="542">
        <f>I29*12</f>
        <v>1834.92</v>
      </c>
      <c r="K29" s="344">
        <v>127.08</v>
      </c>
      <c r="L29" s="340">
        <f>K29-G29</f>
        <v>-25.83</v>
      </c>
      <c r="M29" s="329">
        <f>G29*12</f>
        <v>1834.92</v>
      </c>
      <c r="N29" s="260">
        <v>1525</v>
      </c>
      <c r="O29" s="319">
        <f>N29-M29</f>
        <v>-309.92000000000007</v>
      </c>
      <c r="P29" s="58">
        <f>N29/K29</f>
        <v>12.000314762354423</v>
      </c>
      <c r="Q29" s="114">
        <f>N29</f>
        <v>1525</v>
      </c>
      <c r="R29" s="58">
        <f>M29/G29</f>
        <v>12</v>
      </c>
      <c r="S29" s="114">
        <f>Q29*R29</f>
        <v>18300</v>
      </c>
    </row>
    <row r="30" spans="1:20" x14ac:dyDescent="0.2">
      <c r="A30" s="69"/>
      <c r="B30" s="182"/>
      <c r="C30" s="132"/>
      <c r="D30" s="292" t="str">
        <f xml:space="preserve"> Stammdaten!$C$24 &amp; "% Kirchensteuer "</f>
        <v xml:space="preserve">0% Kirchensteuer </v>
      </c>
      <c r="E30" s="171"/>
      <c r="F30" s="83"/>
      <c r="G30" s="311">
        <v>0</v>
      </c>
      <c r="H30" s="69"/>
      <c r="I30" s="547"/>
      <c r="J30" s="348"/>
      <c r="K30" s="69"/>
      <c r="L30" s="339"/>
      <c r="M30" s="330"/>
      <c r="N30" s="69"/>
      <c r="O30" s="317"/>
      <c r="P30" s="222"/>
      <c r="S30" s="468"/>
    </row>
    <row r="31" spans="1:20" x14ac:dyDescent="0.2">
      <c r="A31" s="69"/>
      <c r="B31" s="182"/>
      <c r="C31" s="132"/>
      <c r="D31" s="129" t="s">
        <v>9</v>
      </c>
      <c r="E31" s="81"/>
      <c r="F31" s="80"/>
      <c r="G31" s="311">
        <v>0</v>
      </c>
      <c r="H31" s="69"/>
      <c r="I31" s="547"/>
      <c r="J31" s="348"/>
      <c r="K31" s="69"/>
      <c r="L31" s="339"/>
      <c r="M31" s="330"/>
      <c r="N31" s="69"/>
      <c r="O31" s="317"/>
      <c r="P31" s="222"/>
      <c r="S31" s="468"/>
    </row>
    <row r="32" spans="1:20" ht="13.5" x14ac:dyDescent="0.25">
      <c r="A32" s="69"/>
      <c r="B32" s="182"/>
      <c r="C32" s="134"/>
      <c r="D32" s="293" t="str">
        <f>IF(AND(Stammdaten!C27=1,E4&lt;850.01),"",IF(Stammdaten!$C$18&gt;2,"privater (incl. PflegeV) ",IF(Stammdaten!C27=0,Stammdaten!C17&amp;"%",""))&amp;" Krankenkassenbeitrag")</f>
        <v>14,6% Krankenkassenbeitrag</v>
      </c>
      <c r="E32" s="199"/>
      <c r="F32" s="200"/>
      <c r="G32" s="311">
        <v>164.47</v>
      </c>
      <c r="H32" s="515">
        <f>ROUND(G32/G27,4)</f>
        <v>7.2999999999999995E-2</v>
      </c>
      <c r="I32" s="545">
        <f>14.6%*E16/2</f>
        <v>157.899</v>
      </c>
      <c r="J32" s="348"/>
      <c r="K32" s="344"/>
      <c r="L32" s="339"/>
      <c r="M32" s="330"/>
      <c r="N32" s="260"/>
      <c r="O32" s="317"/>
    </row>
    <row r="33" spans="1:18" ht="13.5" x14ac:dyDescent="0.25">
      <c r="A33" s="69"/>
      <c r="B33" s="182"/>
      <c r="C33" s="134"/>
      <c r="D33" s="293" t="str">
        <f>IF(AND(Stammdaten!C27=1,E4&lt;1300.01),"",IF(Stammdaten!$C$18&gt;2,"privater (incl. PflegeV) ",IF(Stammdaten!C27=0,Stammdaten!C18&amp;"%",""))&amp;" Zusatzbeitrag")</f>
        <v>1,2% Zusatzbeitrag</v>
      </c>
      <c r="E33" s="199"/>
      <c r="F33" s="200"/>
      <c r="G33" s="311">
        <v>13.52</v>
      </c>
      <c r="H33" s="515">
        <f>ROUND(G33/G27,4)</f>
        <v>6.0000000000000001E-3</v>
      </c>
      <c r="I33" s="545">
        <f>Stammdaten!C18%*E16/2</f>
        <v>12.978</v>
      </c>
      <c r="J33" s="349">
        <f>SUM(G32:G33)</f>
        <v>177.99</v>
      </c>
      <c r="K33" s="344">
        <v>170.09</v>
      </c>
      <c r="L33" s="340">
        <f>K33-SUM(G32:G33)</f>
        <v>-7.9000000000000057</v>
      </c>
      <c r="M33" s="329">
        <f>J33*12</f>
        <v>2135.88</v>
      </c>
      <c r="N33" s="260">
        <v>2041</v>
      </c>
      <c r="O33" s="319">
        <f>N33-M33</f>
        <v>-94.880000000000109</v>
      </c>
      <c r="P33" s="58">
        <f>N33/K33</f>
        <v>11.999529660767829</v>
      </c>
      <c r="Q33" s="58">
        <f>M33/J33</f>
        <v>12</v>
      </c>
      <c r="R33" s="58">
        <f>M33/J33</f>
        <v>12</v>
      </c>
    </row>
    <row r="34" spans="1:18" ht="13.5" x14ac:dyDescent="0.25">
      <c r="A34" s="69"/>
      <c r="B34" s="182"/>
      <c r="C34" s="132"/>
      <c r="D34" s="129" t="s">
        <v>169</v>
      </c>
      <c r="E34" s="201"/>
      <c r="F34" s="132"/>
      <c r="G34" s="311">
        <v>0</v>
      </c>
      <c r="H34" s="69"/>
      <c r="I34" s="545"/>
      <c r="J34" s="350"/>
      <c r="K34" s="344"/>
      <c r="L34" s="339"/>
      <c r="M34" s="330"/>
      <c r="N34" s="261"/>
      <c r="O34" s="317"/>
    </row>
    <row r="35" spans="1:18" ht="13.5" x14ac:dyDescent="0.25">
      <c r="A35" s="69"/>
      <c r="B35" s="182"/>
      <c r="C35" s="128"/>
      <c r="D35" s="129" t="s">
        <v>343</v>
      </c>
      <c r="E35" s="201"/>
      <c r="F35" s="202"/>
      <c r="G35" s="311">
        <v>0</v>
      </c>
      <c r="H35" s="514" t="s">
        <v>359</v>
      </c>
      <c r="I35" s="545"/>
      <c r="J35" s="350"/>
      <c r="K35" s="344"/>
      <c r="L35" s="339"/>
      <c r="M35" s="330"/>
      <c r="N35" s="261"/>
      <c r="O35" s="317"/>
    </row>
    <row r="36" spans="1:18" ht="13.5" x14ac:dyDescent="0.25">
      <c r="A36" s="69"/>
      <c r="B36" s="182"/>
      <c r="C36" s="132"/>
      <c r="D36" s="129" t="str">
        <f>ROUND(G36*1/G27*100,2) &amp; "% Pflegeversicherung"</f>
        <v>3,05% Pflegeversicherung</v>
      </c>
      <c r="E36" s="201"/>
      <c r="F36" s="132"/>
      <c r="G36" s="311">
        <v>68.72</v>
      </c>
      <c r="H36" s="515">
        <f>ROUND(G36/G27,4)</f>
        <v>3.0499999999999999E-2</v>
      </c>
      <c r="I36" s="545">
        <f>J36</f>
        <v>65.971499999999992</v>
      </c>
      <c r="J36" s="349">
        <f>H36*100%*E16</f>
        <v>65.971499999999992</v>
      </c>
      <c r="K36" s="344">
        <v>65.67</v>
      </c>
      <c r="L36" s="340">
        <f>K36-G36</f>
        <v>-3.0499999999999972</v>
      </c>
      <c r="M36" s="329">
        <f>J36*12</f>
        <v>791.6579999999999</v>
      </c>
      <c r="N36" s="260">
        <v>788</v>
      </c>
      <c r="O36" s="319">
        <f>N36-M36</f>
        <v>-3.6579999999999018</v>
      </c>
      <c r="P36" s="58">
        <f>N36/K36</f>
        <v>11.999390893863255</v>
      </c>
      <c r="Q36" s="58">
        <f>M36/J36</f>
        <v>12</v>
      </c>
      <c r="R36" s="58">
        <f>M36/J36</f>
        <v>12</v>
      </c>
    </row>
    <row r="37" spans="1:18" x14ac:dyDescent="0.2">
      <c r="A37" s="69"/>
      <c r="B37" s="182"/>
      <c r="C37" s="132"/>
      <c r="D37" s="154" t="s">
        <v>137</v>
      </c>
      <c r="E37" s="158"/>
      <c r="F37" s="157"/>
      <c r="G37" s="183"/>
      <c r="H37" s="69"/>
      <c r="I37" s="547"/>
      <c r="J37" s="348"/>
      <c r="K37" s="69"/>
      <c r="L37" s="339"/>
      <c r="M37" s="330"/>
      <c r="N37" s="261"/>
      <c r="O37" s="317"/>
    </row>
    <row r="38" spans="1:18" ht="14.25" thickBot="1" x14ac:dyDescent="0.3">
      <c r="A38" s="69"/>
      <c r="B38" s="185"/>
      <c r="C38" s="174" t="s">
        <v>127</v>
      </c>
      <c r="D38" s="188"/>
      <c r="E38" s="176"/>
      <c r="F38" s="175"/>
      <c r="G38" s="186">
        <f>SUM(G29:G37)</f>
        <v>399.62</v>
      </c>
      <c r="H38" s="515">
        <f>ROUND(G38/G27,4)</f>
        <v>0.1774</v>
      </c>
      <c r="I38" s="548">
        <f>SUM(I29:I36)</f>
        <v>389.75849999999997</v>
      </c>
      <c r="J38" s="351">
        <f>SUM(J33:J37)</f>
        <v>243.9615</v>
      </c>
      <c r="K38" s="345">
        <f>SUM(K29:K36)</f>
        <v>362.84000000000003</v>
      </c>
      <c r="L38" s="340">
        <f>K38-I38</f>
        <v>-26.918499999999938</v>
      </c>
      <c r="M38" s="331"/>
      <c r="N38" s="320"/>
      <c r="O38" s="321"/>
    </row>
    <row r="39" spans="1:18" ht="3.75" customHeight="1" thickTop="1" x14ac:dyDescent="0.2">
      <c r="A39" s="69"/>
      <c r="B39" s="179"/>
      <c r="C39" s="180"/>
      <c r="D39" s="189"/>
      <c r="E39" s="190"/>
      <c r="F39" s="189"/>
      <c r="G39" s="255"/>
      <c r="H39" s="69"/>
      <c r="J39" s="348"/>
      <c r="K39" s="69"/>
      <c r="L39" s="339"/>
      <c r="M39" s="332"/>
    </row>
    <row r="40" spans="1:18" ht="3.75" customHeight="1" x14ac:dyDescent="0.2">
      <c r="A40" s="69"/>
      <c r="B40" s="182"/>
      <c r="C40" s="132"/>
      <c r="D40" s="80"/>
      <c r="E40" s="81"/>
      <c r="F40" s="80"/>
      <c r="G40" s="256"/>
      <c r="H40" s="69"/>
      <c r="J40" s="348"/>
      <c r="K40" s="323"/>
      <c r="L40" s="339"/>
      <c r="M40" s="330"/>
    </row>
    <row r="41" spans="1:18" ht="12.75" customHeight="1" x14ac:dyDescent="0.2">
      <c r="A41" s="69"/>
      <c r="B41" s="182"/>
      <c r="C41" s="115" t="s">
        <v>33</v>
      </c>
      <c r="D41" s="77" t="s">
        <v>31</v>
      </c>
      <c r="E41" s="86" t="s">
        <v>32</v>
      </c>
      <c r="F41" s="76"/>
      <c r="G41" s="312"/>
      <c r="H41" s="69"/>
      <c r="J41" s="352">
        <f>J38+J33</f>
        <v>421.95150000000001</v>
      </c>
      <c r="K41" s="323"/>
      <c r="L41" s="339"/>
      <c r="M41" s="518" t="s">
        <v>361</v>
      </c>
      <c r="O41" s="322"/>
    </row>
    <row r="42" spans="1:18" x14ac:dyDescent="0.2">
      <c r="A42" s="69"/>
      <c r="B42" s="182"/>
      <c r="C42" s="154" t="s">
        <v>30</v>
      </c>
      <c r="D42" s="241">
        <v>1</v>
      </c>
      <c r="E42" s="242">
        <v>0</v>
      </c>
      <c r="F42" s="172"/>
      <c r="G42" s="311">
        <f>D42*E42</f>
        <v>0</v>
      </c>
      <c r="H42" s="69"/>
      <c r="J42" s="353" t="s">
        <v>210</v>
      </c>
      <c r="K42" s="323"/>
      <c r="L42" s="339"/>
      <c r="M42" s="517">
        <f>SUM(M33:M36)</f>
        <v>2927.538</v>
      </c>
      <c r="O42" s="322"/>
    </row>
    <row r="43" spans="1:18" x14ac:dyDescent="0.2">
      <c r="A43" s="69"/>
      <c r="B43" s="182"/>
      <c r="C43" s="154" t="s">
        <v>18</v>
      </c>
      <c r="D43" s="241">
        <v>0</v>
      </c>
      <c r="E43" s="242">
        <v>0</v>
      </c>
      <c r="F43" s="173"/>
      <c r="G43" s="311">
        <f>D43*E43</f>
        <v>0</v>
      </c>
      <c r="H43" s="69"/>
      <c r="K43" s="341"/>
      <c r="L43" s="339"/>
      <c r="M43" s="330"/>
      <c r="N43" s="496"/>
      <c r="O43" s="322"/>
    </row>
    <row r="44" spans="1:18" x14ac:dyDescent="0.2">
      <c r="A44" s="69"/>
      <c r="B44" s="182"/>
      <c r="C44" s="154" t="s">
        <v>17</v>
      </c>
      <c r="D44" s="241">
        <v>0</v>
      </c>
      <c r="E44" s="242">
        <v>0</v>
      </c>
      <c r="F44" s="173"/>
      <c r="G44" s="311">
        <f>D44*E44</f>
        <v>0</v>
      </c>
      <c r="H44" s="69"/>
      <c r="I44" s="262"/>
      <c r="K44" s="341"/>
      <c r="L44" s="339"/>
      <c r="M44" s="330"/>
      <c r="O44" s="322"/>
    </row>
    <row r="45" spans="1:18" x14ac:dyDescent="0.2">
      <c r="A45" s="69"/>
      <c r="B45" s="182"/>
      <c r="C45" s="156" t="s">
        <v>34</v>
      </c>
      <c r="D45" s="241">
        <v>0</v>
      </c>
      <c r="E45" s="242">
        <v>0</v>
      </c>
      <c r="F45" s="177"/>
      <c r="G45" s="311">
        <f>D45*E45</f>
        <v>0</v>
      </c>
      <c r="H45" s="69"/>
      <c r="K45" s="341"/>
      <c r="L45" s="339"/>
      <c r="M45" s="330"/>
      <c r="O45" s="322"/>
    </row>
    <row r="46" spans="1:18" x14ac:dyDescent="0.2">
      <c r="A46" s="69"/>
      <c r="B46" s="182"/>
      <c r="C46" s="154" t="s">
        <v>139</v>
      </c>
      <c r="D46" s="157"/>
      <c r="E46" s="158"/>
      <c r="F46" s="157"/>
      <c r="G46" s="311">
        <f>SUM(G42:G44)</f>
        <v>0</v>
      </c>
      <c r="H46" s="69"/>
      <c r="I46" s="262"/>
      <c r="J46" s="191"/>
      <c r="K46" s="341"/>
      <c r="L46" s="339"/>
      <c r="M46" s="330"/>
      <c r="O46" s="322"/>
    </row>
    <row r="47" spans="1:18" ht="8.25" customHeight="1" x14ac:dyDescent="0.2">
      <c r="A47" s="69"/>
      <c r="B47" s="182"/>
      <c r="C47" s="132"/>
      <c r="D47" s="80"/>
      <c r="E47" s="81"/>
      <c r="F47" s="80"/>
      <c r="G47" s="311"/>
      <c r="H47" s="69"/>
      <c r="K47" s="341"/>
      <c r="L47" s="339"/>
      <c r="M47" s="330"/>
      <c r="O47" s="322"/>
    </row>
    <row r="48" spans="1:18" x14ac:dyDescent="0.2">
      <c r="A48" s="69"/>
      <c r="B48" s="182"/>
      <c r="C48" s="132"/>
      <c r="D48" s="64"/>
      <c r="E48" s="64"/>
      <c r="F48" s="486" t="str">
        <f>IF(T1="Ja","Betriebsrente →","")</f>
        <v/>
      </c>
      <c r="G48" s="215">
        <f>J9</f>
        <v>10</v>
      </c>
      <c r="H48" s="69"/>
      <c r="K48" s="341"/>
      <c r="L48" s="339"/>
      <c r="M48" s="330"/>
      <c r="O48" s="322"/>
    </row>
    <row r="49" spans="1:15" x14ac:dyDescent="0.2">
      <c r="A49" s="69"/>
      <c r="B49" s="182"/>
      <c r="C49" s="154" t="s">
        <v>25</v>
      </c>
      <c r="D49" s="155"/>
      <c r="E49" s="155"/>
      <c r="F49" s="155"/>
      <c r="G49" s="183">
        <v>0</v>
      </c>
      <c r="H49" s="69"/>
      <c r="K49" s="341"/>
      <c r="L49" s="339"/>
      <c r="M49" s="330"/>
      <c r="O49" s="322"/>
    </row>
    <row r="50" spans="1:15" x14ac:dyDescent="0.2">
      <c r="A50" s="69"/>
      <c r="B50" s="182"/>
      <c r="C50" s="154" t="s">
        <v>24</v>
      </c>
      <c r="D50" s="155"/>
      <c r="E50" s="155"/>
      <c r="F50" s="155"/>
      <c r="G50" s="183">
        <v>0</v>
      </c>
      <c r="H50" s="69"/>
      <c r="K50" s="341"/>
      <c r="L50" s="339"/>
      <c r="M50" s="330"/>
      <c r="O50" s="322"/>
    </row>
    <row r="51" spans="1:15" x14ac:dyDescent="0.2">
      <c r="A51" s="69"/>
      <c r="B51" s="182"/>
      <c r="C51" s="154"/>
      <c r="D51" s="155"/>
      <c r="E51" s="155"/>
      <c r="F51" s="155"/>
      <c r="G51" s="215"/>
      <c r="H51" s="69"/>
      <c r="K51" s="341"/>
      <c r="L51" s="339"/>
      <c r="M51" s="330"/>
      <c r="O51" s="322"/>
    </row>
    <row r="52" spans="1:15" ht="4.5" customHeight="1" x14ac:dyDescent="0.2">
      <c r="A52" s="69"/>
      <c r="B52" s="182"/>
      <c r="C52" s="132"/>
      <c r="D52" s="80"/>
      <c r="E52" s="81"/>
      <c r="F52" s="80"/>
      <c r="G52" s="184"/>
      <c r="H52" s="69"/>
      <c r="K52" s="341"/>
      <c r="L52" s="339"/>
      <c r="M52" s="330"/>
      <c r="O52" s="322"/>
    </row>
    <row r="53" spans="1:15" ht="13.5" x14ac:dyDescent="0.25">
      <c r="A53" s="69"/>
      <c r="B53" s="185"/>
      <c r="C53" s="174" t="s">
        <v>126</v>
      </c>
      <c r="D53" s="175"/>
      <c r="E53" s="176"/>
      <c r="F53" s="175"/>
      <c r="G53" s="487">
        <f>SUM(G49:G51)+SUM(G42:G47)</f>
        <v>0</v>
      </c>
      <c r="H53" s="493">
        <f>H16-G29-G32-G33-G36</f>
        <v>1763.66</v>
      </c>
      <c r="K53" s="341"/>
      <c r="L53" s="339"/>
      <c r="M53" s="330"/>
      <c r="O53" s="322"/>
    </row>
    <row r="54" spans="1:15" ht="3.75" customHeight="1" x14ac:dyDescent="0.2">
      <c r="A54" s="69"/>
      <c r="B54" s="69"/>
      <c r="C54" s="115"/>
      <c r="D54" s="87"/>
      <c r="E54" s="88"/>
      <c r="F54" s="87"/>
      <c r="G54" s="89"/>
      <c r="H54" s="69"/>
      <c r="K54" s="338"/>
      <c r="L54" s="339"/>
      <c r="M54" s="330"/>
    </row>
    <row r="55" spans="1:15" ht="13.5" x14ac:dyDescent="0.25">
      <c r="A55" s="69"/>
      <c r="B55" s="69"/>
      <c r="C55" s="115" t="s">
        <v>26</v>
      </c>
      <c r="D55" s="87"/>
      <c r="E55" s="88"/>
      <c r="F55" s="87"/>
      <c r="G55" s="257">
        <v>1853.38</v>
      </c>
      <c r="H55" s="489">
        <f>IF(AND(J9&gt;0,P9&gt;0),G55+J9,G55)</f>
        <v>1863.38</v>
      </c>
      <c r="I55" s="488" t="str">
        <f>IF(T1="Ja","inkl.Betriebsrente","")</f>
        <v/>
      </c>
      <c r="K55" s="342">
        <f>ROUND(G16,0)-K38</f>
        <v>1890.1599999999999</v>
      </c>
      <c r="L55" s="343">
        <f>K55-G55</f>
        <v>36.779999999999745</v>
      </c>
      <c r="M55" s="333">
        <f>G55*12</f>
        <v>22240.560000000001</v>
      </c>
      <c r="N55" s="313">
        <f>K55*12</f>
        <v>22681.919999999998</v>
      </c>
      <c r="O55" s="319">
        <f>N55-M55</f>
        <v>441.35999999999694</v>
      </c>
    </row>
    <row r="56" spans="1:15" ht="3.75" customHeight="1" x14ac:dyDescent="0.25">
      <c r="B56" s="69"/>
      <c r="C56" s="87"/>
      <c r="D56" s="87"/>
      <c r="E56" s="88"/>
      <c r="F56" s="87"/>
      <c r="G56" s="98"/>
      <c r="H56" s="69"/>
    </row>
    <row r="57" spans="1:15" ht="12" customHeight="1" x14ac:dyDescent="0.2">
      <c r="B57" s="568" t="s">
        <v>138</v>
      </c>
      <c r="C57" s="569"/>
      <c r="D57" s="154" t="s">
        <v>134</v>
      </c>
      <c r="E57" s="564">
        <v>123456789</v>
      </c>
      <c r="F57" s="565"/>
      <c r="G57" s="565"/>
      <c r="H57" s="494">
        <v>1876.07</v>
      </c>
      <c r="I57" s="493">
        <f>Lohnkonto!O39</f>
        <v>1953.38</v>
      </c>
      <c r="J57" s="493">
        <f>H57-I57</f>
        <v>-77.310000000000173</v>
      </c>
    </row>
    <row r="58" spans="1:15" ht="12.75" customHeight="1" x14ac:dyDescent="0.2">
      <c r="B58" s="165"/>
      <c r="C58" s="166"/>
      <c r="D58" s="167" t="s">
        <v>135</v>
      </c>
      <c r="E58" s="564" t="s">
        <v>203</v>
      </c>
      <c r="F58" s="565"/>
      <c r="G58" s="565"/>
      <c r="H58" s="494"/>
      <c r="I58" s="490"/>
    </row>
    <row r="59" spans="1:15" ht="12.75" customHeight="1" x14ac:dyDescent="0.2">
      <c r="B59" s="168"/>
      <c r="C59" s="166"/>
      <c r="D59" s="167" t="s">
        <v>136</v>
      </c>
      <c r="E59" s="564" t="s">
        <v>204</v>
      </c>
      <c r="F59" s="565"/>
      <c r="G59" s="565"/>
      <c r="H59" s="494"/>
      <c r="I59" s="490"/>
    </row>
    <row r="60" spans="1:15" ht="33.75" customHeight="1" x14ac:dyDescent="0.25">
      <c r="B60" s="568" t="s">
        <v>111</v>
      </c>
      <c r="C60" s="569"/>
      <c r="D60" s="576"/>
      <c r="E60" s="577"/>
      <c r="F60" s="577"/>
      <c r="G60" s="169"/>
      <c r="H60" s="494"/>
      <c r="I60" s="222" t="s">
        <v>373</v>
      </c>
      <c r="K60" s="224">
        <f>H32*2*J9</f>
        <v>1.46</v>
      </c>
      <c r="L60" s="543">
        <v>1.46</v>
      </c>
    </row>
    <row r="61" spans="1:15" ht="15" customHeight="1" x14ac:dyDescent="0.2">
      <c r="B61" s="575"/>
      <c r="C61" s="575"/>
      <c r="D61" s="578" t="s">
        <v>205</v>
      </c>
      <c r="E61" s="578"/>
      <c r="F61" s="578"/>
      <c r="G61" s="579"/>
      <c r="H61" s="494"/>
      <c r="I61" s="222" t="s">
        <v>371</v>
      </c>
      <c r="K61" s="544">
        <f>Q9</f>
        <v>18.239999999999998</v>
      </c>
    </row>
    <row r="62" spans="1:15" ht="12" customHeight="1" x14ac:dyDescent="0.2">
      <c r="B62" s="170"/>
      <c r="C62" s="170"/>
      <c r="D62" s="560" t="s">
        <v>112</v>
      </c>
      <c r="E62" s="561"/>
      <c r="F62" s="561"/>
      <c r="G62" s="562"/>
      <c r="I62" s="222" t="s">
        <v>372</v>
      </c>
      <c r="K62" s="222" t="s">
        <v>374</v>
      </c>
    </row>
    <row r="63" spans="1:15" x14ac:dyDescent="0.2">
      <c r="B63" s="124" t="s">
        <v>97</v>
      </c>
      <c r="C63" s="127"/>
      <c r="D63" s="125"/>
      <c r="E63" s="125"/>
      <c r="F63" s="125"/>
      <c r="G63" s="126"/>
      <c r="H63" s="69"/>
    </row>
    <row r="64" spans="1:15" x14ac:dyDescent="0.2">
      <c r="B64" s="135" t="s">
        <v>105</v>
      </c>
      <c r="C64" s="144">
        <f>Lohnkonto!$C$7</f>
        <v>12712.560000000001</v>
      </c>
      <c r="D64" s="111" t="s">
        <v>98</v>
      </c>
      <c r="E64" s="144">
        <f>Lohnkonto!$C$19</f>
        <v>928.02</v>
      </c>
      <c r="F64" s="111" t="s">
        <v>109</v>
      </c>
      <c r="G64" s="145">
        <f>Lohnkonto!$C$9</f>
        <v>0</v>
      </c>
      <c r="H64" s="69"/>
    </row>
    <row r="65" spans="2:9" x14ac:dyDescent="0.2">
      <c r="B65" s="135" t="s">
        <v>46</v>
      </c>
      <c r="C65" s="144">
        <f>Lohnkonto!$C$13</f>
        <v>1577.23</v>
      </c>
      <c r="D65" s="111" t="s">
        <v>99</v>
      </c>
      <c r="E65" s="144">
        <f>Lohnkonto!$C$21</f>
        <v>0</v>
      </c>
      <c r="F65" s="111" t="s">
        <v>117</v>
      </c>
      <c r="G65" s="145">
        <f>Lohnkonto!$C$35</f>
        <v>0</v>
      </c>
      <c r="H65" s="3"/>
    </row>
    <row r="66" spans="2:9" x14ac:dyDescent="0.2">
      <c r="B66" s="135" t="s">
        <v>10</v>
      </c>
      <c r="C66" s="144">
        <f>Lohnkonto!$C$17</f>
        <v>0</v>
      </c>
      <c r="D66" s="111" t="s">
        <v>100</v>
      </c>
      <c r="E66" s="144">
        <f>Lohnkonto!$C$22</f>
        <v>0</v>
      </c>
      <c r="F66" s="111"/>
      <c r="G66" s="145"/>
      <c r="H66" s="62"/>
      <c r="I66" s="2"/>
    </row>
    <row r="67" spans="2:9" s="2" customFormat="1" x14ac:dyDescent="0.2">
      <c r="B67" s="136" t="s">
        <v>101</v>
      </c>
      <c r="C67" s="146">
        <f>Lohnkonto!$C$15</f>
        <v>0</v>
      </c>
      <c r="D67" s="148" t="s">
        <v>102</v>
      </c>
      <c r="E67" s="146">
        <f>Lohnkonto!$C$23</f>
        <v>387.74</v>
      </c>
      <c r="F67" s="148" t="s">
        <v>110</v>
      </c>
      <c r="G67" s="147">
        <f>Lohnkonto!$C$39</f>
        <v>10452.119999999999</v>
      </c>
      <c r="H67" s="61"/>
    </row>
    <row r="68" spans="2:9" s="2" customFormat="1" ht="7.5" customHeight="1" x14ac:dyDescent="0.2">
      <c r="B68" s="62"/>
      <c r="C68" s="3"/>
      <c r="D68" s="3"/>
      <c r="E68" s="3"/>
      <c r="F68" s="3"/>
      <c r="G68" s="3"/>
      <c r="H68" s="61"/>
    </row>
    <row r="69" spans="2:9" s="2" customFormat="1" ht="15" customHeight="1" x14ac:dyDescent="0.2">
      <c r="B69" s="62"/>
      <c r="C69" s="3"/>
      <c r="D69" s="3"/>
      <c r="E69" s="3"/>
      <c r="F69" s="3"/>
      <c r="G69" s="3"/>
      <c r="H69" s="61"/>
    </row>
    <row r="70" spans="2:9" s="2" customFormat="1" ht="15" customHeight="1" x14ac:dyDescent="0.2">
      <c r="B70" s="62"/>
      <c r="C70" s="227" t="s">
        <v>185</v>
      </c>
      <c r="D70" s="227"/>
      <c r="E70" s="227"/>
      <c r="F70" s="227"/>
      <c r="G70" s="227"/>
      <c r="H70" s="228"/>
      <c r="I70" s="229"/>
    </row>
    <row r="71" spans="2:9" s="2" customFormat="1" ht="19.5" customHeight="1" x14ac:dyDescent="0.2">
      <c r="B71" s="62"/>
      <c r="C71" s="3"/>
      <c r="D71" s="3"/>
      <c r="E71" s="3"/>
      <c r="F71" s="3"/>
      <c r="G71" s="3"/>
      <c r="H71" s="61"/>
    </row>
    <row r="72" spans="2:9" x14ac:dyDescent="0.2">
      <c r="B72" s="563"/>
      <c r="C72" s="563"/>
      <c r="D72" s="558"/>
      <c r="E72" s="558"/>
      <c r="F72" s="558"/>
      <c r="G72" s="558"/>
      <c r="H72" s="62"/>
    </row>
    <row r="73" spans="2:9" ht="11.25" customHeight="1" x14ac:dyDescent="0.2">
      <c r="B73" s="90"/>
      <c r="C73" s="90"/>
      <c r="D73" s="558"/>
      <c r="E73" s="559"/>
      <c r="F73" s="559"/>
      <c r="G73" s="559"/>
    </row>
    <row r="74" spans="2:9" x14ac:dyDescent="0.2">
      <c r="G74" s="198"/>
    </row>
  </sheetData>
  <sheetProtection formatCells="0" formatColumns="0" formatRows="0" insertHyperlinks="0" selectLockedCells="1"/>
  <mergeCells count="14">
    <mergeCell ref="B1:D1"/>
    <mergeCell ref="B57:C57"/>
    <mergeCell ref="C26:F26"/>
    <mergeCell ref="P8:Q8"/>
    <mergeCell ref="B60:C61"/>
    <mergeCell ref="D60:F60"/>
    <mergeCell ref="D61:G61"/>
    <mergeCell ref="D73:G73"/>
    <mergeCell ref="D62:G62"/>
    <mergeCell ref="B72:C72"/>
    <mergeCell ref="D72:G72"/>
    <mergeCell ref="E57:G57"/>
    <mergeCell ref="E58:G58"/>
    <mergeCell ref="E59:G59"/>
  </mergeCells>
  <phoneticPr fontId="0" type="noConversion"/>
  <conditionalFormatting sqref="C35">
    <cfRule type="cellIs" dxfId="13" priority="18" stopIfTrue="1" operator="lessThan">
      <formula>0</formula>
    </cfRule>
    <cfRule type="cellIs" dxfId="12" priority="19" stopIfTrue="1" operator="notEqual">
      <formula>0</formula>
    </cfRule>
  </conditionalFormatting>
  <conditionalFormatting sqref="H77:L77">
    <cfRule type="cellIs" dxfId="11" priority="20" stopIfTrue="1" operator="equal">
      <formula>0</formula>
    </cfRule>
  </conditionalFormatting>
  <conditionalFormatting sqref="C27:C33 D31 D29">
    <cfRule type="cellIs" dxfId="10" priority="16" stopIfTrue="1" operator="lessThan">
      <formula>0</formula>
    </cfRule>
    <cfRule type="cellIs" dxfId="9" priority="17" stopIfTrue="1" operator="greaterThan">
      <formula>0</formula>
    </cfRule>
  </conditionalFormatting>
  <conditionalFormatting sqref="J8:K8 K12:K14 K10">
    <cfRule type="cellIs" dxfId="8" priority="21" stopIfTrue="1" operator="equal">
      <formula>0</formula>
    </cfRule>
  </conditionalFormatting>
  <conditionalFormatting sqref="D68:D71 G68:G71">
    <cfRule type="cellIs" dxfId="7" priority="15" stopIfTrue="1" operator="notEqual">
      <formula>""</formula>
    </cfRule>
  </conditionalFormatting>
  <conditionalFormatting sqref="J1">
    <cfRule type="cellIs" dxfId="6" priority="6" stopIfTrue="1" operator="notEqual">
      <formula>""</formula>
    </cfRule>
  </conditionalFormatting>
  <conditionalFormatting sqref="D35">
    <cfRule type="expression" dxfId="5" priority="5">
      <formula>$G$35=0</formula>
    </cfRule>
  </conditionalFormatting>
  <conditionalFormatting sqref="D34">
    <cfRule type="expression" dxfId="4" priority="4">
      <formula>$G$34=0</formula>
    </cfRule>
  </conditionalFormatting>
  <conditionalFormatting sqref="D31">
    <cfRule type="expression" dxfId="3" priority="3">
      <formula>$G$31=0</formula>
    </cfRule>
  </conditionalFormatting>
  <conditionalFormatting sqref="D30">
    <cfRule type="expression" dxfId="2" priority="2">
      <formula>$G$30=0</formula>
    </cfRule>
  </conditionalFormatting>
  <dataValidations disablePrompts="1" count="1">
    <dataValidation type="list" allowBlank="1" showInputMessage="1" showErrorMessage="1" sqref="I17:I25" xr:uid="{00000000-0002-0000-0100-000001000000}">
      <formula1>"L,E,LgV,EgV"</formula1>
    </dataValidation>
  </dataValidations>
  <hyperlinks>
    <hyperlink ref="K23" r:id="rId1" xr:uid="{5435F0A9-C6B8-4FB5-8B08-28CB3C6E73D9}"/>
    <hyperlink ref="O1" r:id="rId2" xr:uid="{A741DAA3-BAD3-4B47-892D-2335249DE8FF}"/>
  </hyperlinks>
  <pageMargins left="0.25" right="0.25" top="0.75" bottom="0.75" header="0.3" footer="0.3"/>
  <pageSetup paperSize="9" scale="55" orientation="landscape" blackAndWhite="1" r:id="rId3"/>
  <headerFooter alignWithMargins="0"/>
  <drawing r:id="rId4"/>
  <legacyDrawing r:id="rId5"/>
  <controls>
    <mc:AlternateContent xmlns:mc="http://schemas.openxmlformats.org/markup-compatibility/2006">
      <mc:Choice Requires="x14">
        <control shapeId="20483" r:id="rId6" name="ComboBox1">
          <controlPr defaultSize="0" autoLine="0" linkedCell="C2" listFillRange="R1:R14" r:id="rId7">
            <anchor moveWithCells="1">
              <from>
                <xdr:col>2</xdr:col>
                <xdr:colOff>0</xdr:colOff>
                <xdr:row>1</xdr:row>
                <xdr:rowOff>19050</xdr:rowOff>
              </from>
              <to>
                <xdr:col>3</xdr:col>
                <xdr:colOff>228600</xdr:colOff>
                <xdr:row>1</xdr:row>
                <xdr:rowOff>295275</xdr:rowOff>
              </to>
            </anchor>
          </controlPr>
        </control>
      </mc:Choice>
      <mc:Fallback>
        <control shapeId="20483" r:id="rId6" name="ComboBox1"/>
      </mc:Fallback>
    </mc:AlternateContent>
    <mc:AlternateContent xmlns:mc="http://schemas.openxmlformats.org/markup-compatibility/2006">
      <mc:Choice Requires="x14">
        <control shapeId="20486" r:id="rId8" name="ComboBox2">
          <controlPr defaultSize="0" autoLine="0" linkedCell="T1" listFillRange="T2:T3" r:id="rId9">
            <anchor moveWithCells="1">
              <from>
                <xdr:col>9</xdr:col>
                <xdr:colOff>0</xdr:colOff>
                <xdr:row>11</xdr:row>
                <xdr:rowOff>19050</xdr:rowOff>
              </from>
              <to>
                <xdr:col>9</xdr:col>
                <xdr:colOff>1057275</xdr:colOff>
                <xdr:row>12</xdr:row>
                <xdr:rowOff>0</xdr:rowOff>
              </to>
            </anchor>
          </controlPr>
        </control>
      </mc:Choice>
      <mc:Fallback>
        <control shapeId="20486" r:id="rId8" name="ComboBox2"/>
      </mc:Fallback>
    </mc:AlternateContent>
    <mc:AlternateContent xmlns:mc="http://schemas.openxmlformats.org/markup-compatibility/2006">
      <mc:Choice Requires="x14">
        <control shapeId="20488" r:id="rId10" name="ComboBox3">
          <controlPr defaultSize="0" autoLine="0" linkedCell="U1" listFillRange="T2:T3" r:id="rId11">
            <anchor moveWithCells="1">
              <from>
                <xdr:col>9</xdr:col>
                <xdr:colOff>9525</xdr:colOff>
                <xdr:row>10</xdr:row>
                <xdr:rowOff>57150</xdr:rowOff>
              </from>
              <to>
                <xdr:col>9</xdr:col>
                <xdr:colOff>1047750</xdr:colOff>
                <xdr:row>10</xdr:row>
                <xdr:rowOff>285750</xdr:rowOff>
              </to>
            </anchor>
          </controlPr>
        </control>
      </mc:Choice>
      <mc:Fallback>
        <control shapeId="20488" r:id="rId10" name="ComboBox3"/>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B1:P54"/>
  <sheetViews>
    <sheetView zoomScaleNormal="100" zoomScaleSheetLayoutView="80" workbookViewId="0">
      <selection activeCell="O7" sqref="O7"/>
    </sheetView>
  </sheetViews>
  <sheetFormatPr baseColWidth="10" defaultColWidth="0" defaultRowHeight="12.75" zeroHeight="1" x14ac:dyDescent="0.2"/>
  <cols>
    <col min="1" max="1" width="2.85546875" customWidth="1"/>
    <col min="2" max="2" width="19.42578125" customWidth="1"/>
    <col min="3" max="3" width="9.140625" bestFit="1" customWidth="1"/>
    <col min="4" max="4" width="11.85546875" customWidth="1"/>
    <col min="5" max="5" width="10.28515625" customWidth="1"/>
    <col min="6" max="6" width="7.42578125" customWidth="1"/>
    <col min="7" max="7" width="8" customWidth="1"/>
    <col min="8" max="8" width="8.5703125" customWidth="1"/>
    <col min="9" max="9" width="6.7109375" bestFit="1" customWidth="1"/>
    <col min="10" max="10" width="5.28515625" bestFit="1" customWidth="1"/>
    <col min="11" max="11" width="7.140625" bestFit="1" customWidth="1"/>
    <col min="12" max="12" width="11" bestFit="1" customWidth="1"/>
    <col min="13" max="13" width="8.140625" bestFit="1" customWidth="1"/>
    <col min="14" max="15" width="10.28515625" bestFit="1" customWidth="1"/>
    <col min="16" max="16" width="11.42578125" customWidth="1"/>
  </cols>
  <sheetData>
    <row r="1" spans="2:16" x14ac:dyDescent="0.2"/>
    <row r="2" spans="2:16" x14ac:dyDescent="0.2">
      <c r="B2" s="42" t="s">
        <v>43</v>
      </c>
      <c r="C2" s="43">
        <f>gewJahr</f>
        <v>2021</v>
      </c>
      <c r="D2" s="9" t="str">
        <f>Stammdaten!B6 &amp; ", " &amp; Stammdaten!B7 &amp; ", " &amp; Stammdaten!B8</f>
        <v xml:space="preserve">Werner, , </v>
      </c>
      <c r="E2" s="9"/>
      <c r="F2" s="9"/>
      <c r="G2" s="9"/>
      <c r="H2" s="9"/>
      <c r="I2" s="9"/>
      <c r="J2" s="306" t="s">
        <v>201</v>
      </c>
      <c r="K2" s="307"/>
      <c r="L2" s="307"/>
      <c r="M2" s="307"/>
      <c r="N2" s="307"/>
      <c r="O2" s="307"/>
    </row>
    <row r="3" spans="2:16" x14ac:dyDescent="0.2"/>
    <row r="4" spans="2:16" ht="16.5" customHeight="1" x14ac:dyDescent="0.2">
      <c r="L4" s="222" t="s">
        <v>363</v>
      </c>
      <c r="M4" s="222" t="s">
        <v>362</v>
      </c>
      <c r="O4" s="222" t="s">
        <v>364</v>
      </c>
    </row>
    <row r="5" spans="2:16" x14ac:dyDescent="0.2">
      <c r="C5" s="45" t="s">
        <v>12</v>
      </c>
      <c r="D5" s="301" t="s">
        <v>13</v>
      </c>
      <c r="E5" s="301" t="s">
        <v>62</v>
      </c>
      <c r="F5" s="301" t="s">
        <v>14</v>
      </c>
      <c r="G5" s="301" t="s">
        <v>15</v>
      </c>
      <c r="H5" s="301" t="s">
        <v>44</v>
      </c>
      <c r="I5" s="301" t="s">
        <v>16</v>
      </c>
      <c r="J5" s="301" t="s">
        <v>45</v>
      </c>
      <c r="K5" s="301" t="s">
        <v>63</v>
      </c>
      <c r="L5" s="301" t="s">
        <v>64</v>
      </c>
      <c r="M5" s="301" t="s">
        <v>65</v>
      </c>
      <c r="N5" s="301" t="s">
        <v>66</v>
      </c>
      <c r="O5" s="301" t="s">
        <v>67</v>
      </c>
      <c r="P5" s="299"/>
    </row>
    <row r="6" spans="2:16" x14ac:dyDescent="0.2">
      <c r="B6" s="297" t="s">
        <v>58</v>
      </c>
      <c r="C6" s="298"/>
      <c r="D6" s="245">
        <v>44298</v>
      </c>
      <c r="E6" s="245"/>
      <c r="F6" s="245"/>
      <c r="G6" s="245">
        <v>44299</v>
      </c>
      <c r="H6" s="245"/>
      <c r="I6" s="245"/>
      <c r="J6" s="245"/>
      <c r="K6" s="245"/>
      <c r="L6" s="245">
        <v>44299</v>
      </c>
      <c r="M6" s="245">
        <v>44299</v>
      </c>
      <c r="N6" s="245"/>
      <c r="O6" s="245">
        <v>44300</v>
      </c>
      <c r="P6" s="299"/>
    </row>
    <row r="7" spans="2:16" x14ac:dyDescent="0.2">
      <c r="B7" s="286" t="s">
        <v>106</v>
      </c>
      <c r="C7" s="160">
        <f>SUM(D7:O7)</f>
        <v>12712.560000000001</v>
      </c>
      <c r="D7" s="246">
        <v>2153</v>
      </c>
      <c r="E7" s="246"/>
      <c r="F7" s="246"/>
      <c r="G7" s="246">
        <v>4000</v>
      </c>
      <c r="H7" s="246"/>
      <c r="I7" s="246"/>
      <c r="J7" s="247"/>
      <c r="K7" s="246"/>
      <c r="L7" s="246">
        <v>2153.2800000000002</v>
      </c>
      <c r="M7" s="246">
        <v>2153.2800000000002</v>
      </c>
      <c r="N7" s="248"/>
      <c r="O7" s="246">
        <v>2253</v>
      </c>
      <c r="P7" s="299"/>
    </row>
    <row r="8" spans="2:16" ht="12" customHeight="1" x14ac:dyDescent="0.2">
      <c r="B8" s="286" t="s">
        <v>104</v>
      </c>
      <c r="C8" s="160">
        <f>SUM(D8:O8)</f>
        <v>0</v>
      </c>
      <c r="D8" s="249"/>
      <c r="E8" s="249"/>
      <c r="F8" s="249"/>
      <c r="G8" s="249"/>
      <c r="H8" s="249"/>
      <c r="I8" s="249"/>
      <c r="J8" s="249"/>
      <c r="K8" s="249"/>
      <c r="L8" s="249"/>
      <c r="M8" s="249"/>
      <c r="N8" s="249"/>
      <c r="O8" s="249"/>
      <c r="P8" s="299"/>
    </row>
    <row r="9" spans="2:16" ht="12.75" customHeight="1" x14ac:dyDescent="0.2">
      <c r="B9" s="286" t="s">
        <v>51</v>
      </c>
      <c r="C9" s="160">
        <f t="shared" ref="C9:C23" si="0">SUM(D9:O9)</f>
        <v>0</v>
      </c>
      <c r="D9" s="249"/>
      <c r="E9" s="249"/>
      <c r="F9" s="249"/>
      <c r="G9" s="249"/>
      <c r="H9" s="249"/>
      <c r="I9" s="249"/>
      <c r="J9" s="249"/>
      <c r="K9" s="249"/>
      <c r="L9" s="249"/>
      <c r="M9" s="249"/>
      <c r="N9" s="249"/>
      <c r="O9" s="249"/>
      <c r="P9" s="299"/>
    </row>
    <row r="10" spans="2:16" ht="13.5" customHeight="1" x14ac:dyDescent="0.2">
      <c r="B10" s="286" t="s">
        <v>103</v>
      </c>
      <c r="C10" s="160">
        <f>SUM(D10:O10)</f>
        <v>0</v>
      </c>
      <c r="D10" s="249">
        <v>0</v>
      </c>
      <c r="E10" s="249"/>
      <c r="F10" s="249"/>
      <c r="G10" s="249">
        <v>0</v>
      </c>
      <c r="H10" s="249"/>
      <c r="I10" s="249"/>
      <c r="J10" s="249"/>
      <c r="K10" s="249"/>
      <c r="L10" s="249">
        <v>0</v>
      </c>
      <c r="M10" s="249">
        <v>0</v>
      </c>
      <c r="N10" s="249"/>
      <c r="O10" s="249">
        <v>0</v>
      </c>
      <c r="P10" s="299"/>
    </row>
    <row r="11" spans="2:16" x14ac:dyDescent="0.2">
      <c r="B11" s="286" t="s">
        <v>52</v>
      </c>
      <c r="C11" s="160">
        <f t="shared" si="0"/>
        <v>0</v>
      </c>
      <c r="D11" s="249">
        <v>0</v>
      </c>
      <c r="E11" s="249"/>
      <c r="F11" s="249"/>
      <c r="G11" s="249">
        <v>0</v>
      </c>
      <c r="H11" s="249"/>
      <c r="I11" s="249"/>
      <c r="J11" s="249"/>
      <c r="K11" s="249"/>
      <c r="L11" s="249">
        <v>0</v>
      </c>
      <c r="M11" s="249">
        <v>0</v>
      </c>
      <c r="N11" s="249"/>
      <c r="O11" s="249">
        <v>0</v>
      </c>
      <c r="P11" s="299"/>
    </row>
    <row r="12" spans="2:16" ht="6" customHeight="1" x14ac:dyDescent="0.2">
      <c r="B12" s="287"/>
      <c r="C12" s="161"/>
      <c r="D12" s="250"/>
      <c r="E12" s="250"/>
      <c r="F12" s="250"/>
      <c r="G12" s="250"/>
      <c r="H12" s="250"/>
      <c r="I12" s="250"/>
      <c r="J12" s="250"/>
      <c r="K12" s="250"/>
      <c r="L12" s="250"/>
      <c r="M12" s="250"/>
      <c r="N12" s="250"/>
      <c r="O12" s="250"/>
      <c r="P12" s="299"/>
    </row>
    <row r="13" spans="2:16" x14ac:dyDescent="0.2">
      <c r="B13" s="286" t="s">
        <v>46</v>
      </c>
      <c r="C13" s="160">
        <f>SUM(D13:P13)</f>
        <v>1577.23</v>
      </c>
      <c r="D13" s="249">
        <v>127</v>
      </c>
      <c r="E13" s="249"/>
      <c r="F13" s="249"/>
      <c r="G13" s="282">
        <v>523.83000000000004</v>
      </c>
      <c r="H13" s="282">
        <v>491.83</v>
      </c>
      <c r="I13" s="282">
        <f>G13-H13</f>
        <v>32.000000000000057</v>
      </c>
      <c r="J13" s="249"/>
      <c r="K13" s="249"/>
      <c r="L13" s="283">
        <v>142.83000000000001</v>
      </c>
      <c r="M13" s="283">
        <v>124.83</v>
      </c>
      <c r="N13" s="249">
        <f>M13-L13</f>
        <v>-18.000000000000014</v>
      </c>
      <c r="O13" s="249">
        <v>152.91</v>
      </c>
      <c r="P13" s="283"/>
    </row>
    <row r="14" spans="2:16" ht="1.5" customHeight="1" x14ac:dyDescent="0.2">
      <c r="B14" s="286"/>
      <c r="C14" s="160"/>
      <c r="D14" s="249"/>
      <c r="E14" s="249"/>
      <c r="F14" s="249"/>
      <c r="G14" s="249"/>
      <c r="H14" s="249"/>
      <c r="I14" s="249"/>
      <c r="J14" s="249"/>
      <c r="K14" s="249"/>
      <c r="L14" s="249"/>
      <c r="M14" s="249"/>
      <c r="N14" s="249"/>
      <c r="O14" s="249"/>
      <c r="P14" s="299"/>
    </row>
    <row r="15" spans="2:16" x14ac:dyDescent="0.2">
      <c r="B15" s="286" t="s">
        <v>9</v>
      </c>
      <c r="C15" s="160">
        <f t="shared" si="0"/>
        <v>0</v>
      </c>
      <c r="D15" s="249">
        <v>0</v>
      </c>
      <c r="E15" s="249"/>
      <c r="F15" s="249"/>
      <c r="G15" s="249">
        <v>0</v>
      </c>
      <c r="H15" s="249"/>
      <c r="I15" s="249"/>
      <c r="J15" s="249"/>
      <c r="K15" s="249"/>
      <c r="L15" s="249">
        <v>0</v>
      </c>
      <c r="M15" s="249">
        <v>0</v>
      </c>
      <c r="N15" s="249"/>
      <c r="O15" s="249">
        <v>0</v>
      </c>
      <c r="P15" s="299"/>
    </row>
    <row r="16" spans="2:16" ht="1.5" customHeight="1" x14ac:dyDescent="0.2">
      <c r="B16" s="286"/>
      <c r="C16" s="160"/>
      <c r="D16" s="249"/>
      <c r="E16" s="249"/>
      <c r="F16" s="249"/>
      <c r="G16" s="249"/>
      <c r="H16" s="249"/>
      <c r="I16" s="249"/>
      <c r="J16" s="249"/>
      <c r="K16" s="249"/>
      <c r="L16" s="249"/>
      <c r="M16" s="249"/>
      <c r="N16" s="249"/>
      <c r="O16" s="249"/>
      <c r="P16" s="299"/>
    </row>
    <row r="17" spans="2:16" x14ac:dyDescent="0.2">
      <c r="B17" s="286" t="s">
        <v>10</v>
      </c>
      <c r="C17" s="160">
        <f t="shared" si="0"/>
        <v>0</v>
      </c>
      <c r="D17" s="249">
        <v>0</v>
      </c>
      <c r="E17" s="249"/>
      <c r="F17" s="249"/>
      <c r="G17" s="249">
        <v>0</v>
      </c>
      <c r="H17" s="249"/>
      <c r="I17" s="249"/>
      <c r="J17" s="249"/>
      <c r="K17" s="249"/>
      <c r="L17" s="249">
        <v>0</v>
      </c>
      <c r="M17" s="249">
        <v>0</v>
      </c>
      <c r="N17" s="249"/>
      <c r="O17" s="249">
        <v>0</v>
      </c>
      <c r="P17" s="299"/>
    </row>
    <row r="18" spans="2:16" ht="5.25" customHeight="1" x14ac:dyDescent="0.2">
      <c r="B18" s="287"/>
      <c r="C18" s="161"/>
      <c r="D18" s="250"/>
      <c r="E18" s="250"/>
      <c r="F18" s="250"/>
      <c r="G18" s="250"/>
      <c r="H18" s="250"/>
      <c r="I18" s="250"/>
      <c r="J18" s="250"/>
      <c r="K18" s="250"/>
      <c r="L18" s="250"/>
      <c r="M18" s="250"/>
      <c r="N18" s="250"/>
      <c r="O18" s="250"/>
      <c r="P18" s="299"/>
    </row>
    <row r="19" spans="2:16" x14ac:dyDescent="0.2">
      <c r="B19" s="286" t="s">
        <v>164</v>
      </c>
      <c r="C19" s="160">
        <f t="shared" si="0"/>
        <v>928.02</v>
      </c>
      <c r="D19" s="249">
        <v>157.16999999999999</v>
      </c>
      <c r="E19" s="249"/>
      <c r="F19" s="249"/>
      <c r="G19" s="249">
        <v>292</v>
      </c>
      <c r="H19" s="249"/>
      <c r="I19" s="249"/>
      <c r="J19" s="249"/>
      <c r="K19" s="249"/>
      <c r="L19" s="249">
        <v>157.19</v>
      </c>
      <c r="M19" s="249">
        <v>157.19</v>
      </c>
      <c r="N19" s="249"/>
      <c r="O19" s="249">
        <v>164.47</v>
      </c>
      <c r="P19" s="299"/>
    </row>
    <row r="20" spans="2:16" x14ac:dyDescent="0.2">
      <c r="B20" s="286" t="s">
        <v>163</v>
      </c>
      <c r="C20" s="160">
        <f>SUM(D20:O20)</f>
        <v>76.28</v>
      </c>
      <c r="D20" s="249">
        <v>12.92</v>
      </c>
      <c r="E20" s="249"/>
      <c r="F20" s="249"/>
      <c r="G20" s="249">
        <v>24</v>
      </c>
      <c r="H20" s="249"/>
      <c r="I20" s="249"/>
      <c r="J20" s="249"/>
      <c r="K20" s="249"/>
      <c r="L20" s="249">
        <v>12.92</v>
      </c>
      <c r="M20" s="249">
        <v>12.92</v>
      </c>
      <c r="N20" s="249"/>
      <c r="O20" s="249">
        <v>13.52</v>
      </c>
      <c r="P20" s="299"/>
    </row>
    <row r="21" spans="2:16" x14ac:dyDescent="0.2">
      <c r="B21" s="286" t="s">
        <v>176</v>
      </c>
      <c r="C21" s="160">
        <f t="shared" si="0"/>
        <v>0</v>
      </c>
      <c r="D21" s="249">
        <v>0</v>
      </c>
      <c r="E21" s="249"/>
      <c r="F21" s="249"/>
      <c r="G21" s="249">
        <v>0</v>
      </c>
      <c r="H21" s="249"/>
      <c r="I21" s="249"/>
      <c r="J21" s="249"/>
      <c r="K21" s="249"/>
      <c r="L21" s="249">
        <v>0</v>
      </c>
      <c r="M21" s="249">
        <v>0</v>
      </c>
      <c r="N21" s="249"/>
      <c r="O21" s="249">
        <v>0</v>
      </c>
      <c r="P21" s="299"/>
    </row>
    <row r="22" spans="2:16" x14ac:dyDescent="0.2">
      <c r="B22" s="286" t="s">
        <v>53</v>
      </c>
      <c r="C22" s="160">
        <f t="shared" si="0"/>
        <v>0</v>
      </c>
      <c r="D22" s="249">
        <v>0</v>
      </c>
      <c r="E22" s="249"/>
      <c r="F22" s="249"/>
      <c r="G22" s="249">
        <v>0</v>
      </c>
      <c r="H22" s="249"/>
      <c r="I22" s="249"/>
      <c r="J22" s="249"/>
      <c r="K22" s="249"/>
      <c r="L22" s="249">
        <v>0</v>
      </c>
      <c r="M22" s="249">
        <v>0</v>
      </c>
      <c r="N22" s="249"/>
      <c r="O22" s="249">
        <v>0</v>
      </c>
      <c r="P22" s="299"/>
    </row>
    <row r="23" spans="2:16" x14ac:dyDescent="0.2">
      <c r="B23" s="286" t="s">
        <v>47</v>
      </c>
      <c r="C23" s="160">
        <f t="shared" si="0"/>
        <v>387.74</v>
      </c>
      <c r="D23" s="251">
        <v>65.66</v>
      </c>
      <c r="E23" s="251"/>
      <c r="F23" s="251"/>
      <c r="G23" s="251">
        <v>122</v>
      </c>
      <c r="H23" s="251"/>
      <c r="I23" s="251"/>
      <c r="J23" s="251"/>
      <c r="K23" s="251"/>
      <c r="L23" s="251">
        <v>65.680000000000007</v>
      </c>
      <c r="M23" s="251">
        <v>65.680000000000007</v>
      </c>
      <c r="N23" s="251"/>
      <c r="O23" s="251">
        <v>68.72</v>
      </c>
      <c r="P23" s="299"/>
    </row>
    <row r="24" spans="2:16" ht="4.5" customHeight="1" x14ac:dyDescent="0.2">
      <c r="B24" s="286"/>
      <c r="C24" s="162"/>
      <c r="D24" s="249"/>
      <c r="E24" s="249"/>
      <c r="F24" s="249"/>
      <c r="G24" s="249"/>
      <c r="H24" s="249"/>
      <c r="I24" s="249"/>
      <c r="J24" s="249"/>
      <c r="K24" s="249"/>
      <c r="L24" s="249"/>
      <c r="M24" s="249"/>
      <c r="N24" s="249"/>
      <c r="O24" s="249"/>
      <c r="P24" s="299"/>
    </row>
    <row r="25" spans="2:16" ht="12" customHeight="1" x14ac:dyDescent="0.2">
      <c r="B25" s="288" t="s">
        <v>116</v>
      </c>
      <c r="C25" s="163"/>
      <c r="D25" s="250"/>
      <c r="E25" s="250"/>
      <c r="F25" s="250"/>
      <c r="G25" s="250"/>
      <c r="H25" s="250"/>
      <c r="I25" s="250"/>
      <c r="J25" s="250"/>
      <c r="K25" s="250"/>
      <c r="L25" s="250"/>
      <c r="M25" s="250"/>
      <c r="N25" s="250"/>
      <c r="O25" s="250"/>
      <c r="P25" s="299"/>
    </row>
    <row r="26" spans="2:16" x14ac:dyDescent="0.2">
      <c r="B26" s="286" t="s">
        <v>175</v>
      </c>
      <c r="C26" s="160">
        <f t="shared" ref="C26:C33" si="1">SUM(D26:O26)</f>
        <v>1004.3000000000001</v>
      </c>
      <c r="D26" s="249">
        <v>170.09</v>
      </c>
      <c r="E26" s="249"/>
      <c r="F26" s="249"/>
      <c r="G26" s="249">
        <v>316</v>
      </c>
      <c r="H26" s="249"/>
      <c r="I26" s="249"/>
      <c r="J26" s="249"/>
      <c r="K26" s="249"/>
      <c r="L26" s="249">
        <v>170.11</v>
      </c>
      <c r="M26" s="249">
        <v>170.11</v>
      </c>
      <c r="N26" s="249"/>
      <c r="O26" s="249">
        <v>177.99</v>
      </c>
      <c r="P26" s="299"/>
    </row>
    <row r="27" spans="2:16" x14ac:dyDescent="0.2">
      <c r="B27" s="286" t="s">
        <v>48</v>
      </c>
      <c r="C27" s="160">
        <f t="shared" si="1"/>
        <v>0</v>
      </c>
      <c r="D27" s="249">
        <v>0</v>
      </c>
      <c r="E27" s="249"/>
      <c r="F27" s="249"/>
      <c r="G27" s="249"/>
      <c r="H27" s="249"/>
      <c r="I27" s="249"/>
      <c r="J27" s="249"/>
      <c r="K27" s="249"/>
      <c r="L27" s="249"/>
      <c r="M27" s="249"/>
      <c r="N27" s="249"/>
      <c r="O27" s="249"/>
      <c r="P27" s="299"/>
    </row>
    <row r="28" spans="2:16" x14ac:dyDescent="0.2">
      <c r="B28" s="286" t="s">
        <v>50</v>
      </c>
      <c r="C28" s="160">
        <f t="shared" si="1"/>
        <v>0</v>
      </c>
      <c r="D28" s="249">
        <v>0</v>
      </c>
      <c r="E28" s="249"/>
      <c r="F28" s="249"/>
      <c r="G28" s="249"/>
      <c r="H28" s="249"/>
      <c r="I28" s="249"/>
      <c r="J28" s="249"/>
      <c r="K28" s="249"/>
      <c r="L28" s="249"/>
      <c r="M28" s="249"/>
      <c r="N28" s="249"/>
      <c r="O28" s="249"/>
      <c r="P28" s="299"/>
    </row>
    <row r="29" spans="2:16" x14ac:dyDescent="0.2">
      <c r="B29" s="286" t="s">
        <v>49</v>
      </c>
      <c r="C29" s="160">
        <f t="shared" si="1"/>
        <v>0</v>
      </c>
      <c r="D29" s="249">
        <v>0</v>
      </c>
      <c r="E29" s="249"/>
      <c r="F29" s="249"/>
      <c r="G29" s="249">
        <v>0</v>
      </c>
      <c r="H29" s="249"/>
      <c r="I29" s="249"/>
      <c r="J29" s="249"/>
      <c r="K29" s="249"/>
      <c r="L29" s="249">
        <v>0</v>
      </c>
      <c r="M29" s="249">
        <v>0</v>
      </c>
      <c r="N29" s="249"/>
      <c r="O29" s="249">
        <v>0</v>
      </c>
      <c r="P29" s="299"/>
    </row>
    <row r="30" spans="2:16" x14ac:dyDescent="0.2">
      <c r="B30" s="286" t="s">
        <v>54</v>
      </c>
      <c r="C30" s="160">
        <f t="shared" si="1"/>
        <v>0</v>
      </c>
      <c r="D30" s="249">
        <v>0</v>
      </c>
      <c r="E30" s="249"/>
      <c r="F30" s="249"/>
      <c r="G30" s="249">
        <v>0</v>
      </c>
      <c r="H30" s="249"/>
      <c r="I30" s="249"/>
      <c r="J30" s="249"/>
      <c r="K30" s="249"/>
      <c r="L30" s="249">
        <v>0</v>
      </c>
      <c r="M30" s="249">
        <v>0</v>
      </c>
      <c r="N30" s="249"/>
      <c r="O30" s="249">
        <v>0</v>
      </c>
      <c r="P30" s="299"/>
    </row>
    <row r="31" spans="2:16" x14ac:dyDescent="0.2">
      <c r="B31" s="286" t="s">
        <v>140</v>
      </c>
      <c r="C31" s="160">
        <f t="shared" si="1"/>
        <v>0</v>
      </c>
      <c r="D31" s="249">
        <v>0</v>
      </c>
      <c r="E31" s="249"/>
      <c r="F31" s="249"/>
      <c r="G31" s="249">
        <v>0</v>
      </c>
      <c r="H31" s="249"/>
      <c r="I31" s="249"/>
      <c r="J31" s="249"/>
      <c r="K31" s="249"/>
      <c r="L31" s="249">
        <v>0</v>
      </c>
      <c r="M31" s="249">
        <v>0</v>
      </c>
      <c r="N31" s="249"/>
      <c r="O31" s="249">
        <v>0</v>
      </c>
      <c r="P31" s="299"/>
    </row>
    <row r="32" spans="2:16" x14ac:dyDescent="0.2">
      <c r="B32" s="286" t="s">
        <v>55</v>
      </c>
      <c r="C32" s="160">
        <f t="shared" si="1"/>
        <v>0</v>
      </c>
      <c r="D32" s="249">
        <v>0</v>
      </c>
      <c r="E32" s="249"/>
      <c r="F32" s="249"/>
      <c r="G32" s="249">
        <v>0</v>
      </c>
      <c r="H32" s="249"/>
      <c r="I32" s="249"/>
      <c r="J32" s="249"/>
      <c r="K32" s="249"/>
      <c r="L32" s="249">
        <v>0</v>
      </c>
      <c r="M32" s="249">
        <v>0</v>
      </c>
      <c r="N32" s="249"/>
      <c r="O32" s="249">
        <v>0</v>
      </c>
      <c r="P32" s="299"/>
    </row>
    <row r="33" spans="2:16" x14ac:dyDescent="0.2">
      <c r="B33" s="286" t="s">
        <v>177</v>
      </c>
      <c r="C33" s="160">
        <f t="shared" si="1"/>
        <v>0</v>
      </c>
      <c r="D33" s="249">
        <v>0</v>
      </c>
      <c r="E33" s="249"/>
      <c r="F33" s="249"/>
      <c r="G33" s="249">
        <v>0</v>
      </c>
      <c r="H33" s="249"/>
      <c r="I33" s="249"/>
      <c r="J33" s="249"/>
      <c r="K33" s="249"/>
      <c r="L33" s="249">
        <v>0</v>
      </c>
      <c r="M33" s="249">
        <v>0</v>
      </c>
      <c r="N33" s="249"/>
      <c r="O33" s="249">
        <v>0</v>
      </c>
      <c r="P33" s="299"/>
    </row>
    <row r="34" spans="2:16" ht="6" customHeight="1" x14ac:dyDescent="0.2">
      <c r="B34" s="287"/>
      <c r="C34" s="161"/>
      <c r="D34" s="250"/>
      <c r="E34" s="250"/>
      <c r="F34" s="250"/>
      <c r="G34" s="250"/>
      <c r="H34" s="250"/>
      <c r="I34" s="250"/>
      <c r="J34" s="250"/>
      <c r="K34" s="250"/>
      <c r="L34" s="250"/>
      <c r="M34" s="250"/>
      <c r="N34" s="250"/>
      <c r="O34" s="250"/>
      <c r="P34" s="300"/>
    </row>
    <row r="35" spans="2:16" x14ac:dyDescent="0.2">
      <c r="B35" s="286"/>
      <c r="C35" s="160">
        <f>SUM(D35:O35)</f>
        <v>0</v>
      </c>
      <c r="D35" s="249">
        <v>0</v>
      </c>
      <c r="E35" s="249"/>
      <c r="F35" s="249"/>
      <c r="G35" s="249">
        <v>0</v>
      </c>
      <c r="H35" s="249"/>
      <c r="I35" s="249"/>
      <c r="J35" s="249"/>
      <c r="K35" s="249"/>
      <c r="L35" s="249">
        <v>0</v>
      </c>
      <c r="M35" s="249">
        <v>0</v>
      </c>
      <c r="N35" s="249"/>
      <c r="O35" s="249">
        <v>0</v>
      </c>
      <c r="P35" s="299"/>
    </row>
    <row r="36" spans="2:16" x14ac:dyDescent="0.2">
      <c r="B36" s="286" t="s">
        <v>162</v>
      </c>
      <c r="C36" s="160">
        <f>SUM(D36:O36)</f>
        <v>10048.4125</v>
      </c>
      <c r="D36" s="249">
        <v>1669.4275</v>
      </c>
      <c r="E36" s="249"/>
      <c r="F36" s="249"/>
      <c r="G36" s="249">
        <v>3213.1333333333332</v>
      </c>
      <c r="H36" s="249"/>
      <c r="I36" s="249"/>
      <c r="J36" s="249"/>
      <c r="K36" s="249"/>
      <c r="L36" s="249">
        <v>1732.6550000000002</v>
      </c>
      <c r="M36" s="249">
        <v>1660.9883333333335</v>
      </c>
      <c r="N36" s="249"/>
      <c r="O36" s="249">
        <v>1772.2083333333333</v>
      </c>
      <c r="P36" s="299"/>
    </row>
    <row r="37" spans="2:16" x14ac:dyDescent="0.2">
      <c r="B37" s="286" t="s">
        <v>141</v>
      </c>
      <c r="C37" s="160">
        <f>SUM(D37:O37)</f>
        <v>0</v>
      </c>
      <c r="D37" s="249">
        <v>0</v>
      </c>
      <c r="E37" s="249"/>
      <c r="F37" s="249"/>
      <c r="G37" s="249"/>
      <c r="H37" s="249"/>
      <c r="I37" s="249"/>
      <c r="J37" s="249"/>
      <c r="K37" s="249"/>
      <c r="L37" s="249"/>
      <c r="M37" s="249"/>
      <c r="N37" s="249"/>
      <c r="O37" s="249"/>
      <c r="P37" s="299"/>
    </row>
    <row r="38" spans="2:16" x14ac:dyDescent="0.2">
      <c r="B38" s="286" t="s">
        <v>142</v>
      </c>
      <c r="C38" s="160">
        <f>SUM(D38:O38)</f>
        <v>12712.560000000001</v>
      </c>
      <c r="D38" s="249">
        <v>2153</v>
      </c>
      <c r="E38" s="249"/>
      <c r="F38" s="249"/>
      <c r="G38" s="249">
        <v>4000</v>
      </c>
      <c r="H38" s="249"/>
      <c r="I38" s="249"/>
      <c r="J38" s="249"/>
      <c r="K38" s="249"/>
      <c r="L38" s="249">
        <v>2153.2800000000002</v>
      </c>
      <c r="M38" s="249">
        <v>2153.2800000000002</v>
      </c>
      <c r="N38" s="249"/>
      <c r="O38" s="249">
        <v>2253</v>
      </c>
      <c r="P38" s="299"/>
    </row>
    <row r="39" spans="2:16" x14ac:dyDescent="0.2">
      <c r="B39" s="286" t="s">
        <v>110</v>
      </c>
      <c r="C39" s="160">
        <f>SUM(D39:O39)</f>
        <v>10452.119999999999</v>
      </c>
      <c r="D39" s="249">
        <v>1793.25</v>
      </c>
      <c r="E39" s="249"/>
      <c r="F39" s="249"/>
      <c r="G39" s="249">
        <v>3138.17</v>
      </c>
      <c r="H39" s="249"/>
      <c r="I39" s="249"/>
      <c r="J39" s="249"/>
      <c r="K39" s="249"/>
      <c r="L39" s="249">
        <v>1774.66</v>
      </c>
      <c r="M39" s="249">
        <v>1792.66</v>
      </c>
      <c r="N39" s="249"/>
      <c r="O39" s="249">
        <v>1953.38</v>
      </c>
      <c r="P39" s="283"/>
    </row>
    <row r="40" spans="2:16" s="192" customFormat="1" ht="4.5" customHeight="1" x14ac:dyDescent="0.2">
      <c r="B40" s="193"/>
      <c r="C40" s="194"/>
      <c r="D40" s="195"/>
      <c r="E40" s="195"/>
      <c r="F40" s="195"/>
      <c r="G40" s="195"/>
      <c r="H40" s="195"/>
      <c r="I40" s="195"/>
      <c r="J40" s="195"/>
      <c r="K40" s="195"/>
      <c r="L40" s="195"/>
      <c r="M40" s="195"/>
      <c r="N40" s="195"/>
      <c r="O40" s="195"/>
    </row>
    <row r="41" spans="2:16" s="192" customFormat="1" ht="12" customHeight="1" x14ac:dyDescent="0.2">
      <c r="B41" s="580" t="s">
        <v>154</v>
      </c>
      <c r="C41" s="581"/>
      <c r="D41" s="581"/>
      <c r="E41" s="470">
        <f>Stammdaten!$C$26</f>
        <v>5769.5</v>
      </c>
      <c r="G41" s="469" t="s">
        <v>153</v>
      </c>
      <c r="H41" s="12"/>
      <c r="I41" s="12"/>
      <c r="J41" s="12"/>
      <c r="K41" s="470">
        <f>Stammdaten!$C$27</f>
        <v>0</v>
      </c>
      <c r="L41" s="195"/>
      <c r="M41" s="195"/>
      <c r="N41" s="195"/>
      <c r="O41" s="195"/>
    </row>
    <row r="42" spans="2:16" s="192" customFormat="1" ht="4.5" customHeight="1" x14ac:dyDescent="0.2">
      <c r="B42" s="193"/>
      <c r="C42" s="194"/>
      <c r="D42" s="195"/>
      <c r="E42" s="195"/>
      <c r="F42" s="195"/>
      <c r="G42" s="195"/>
      <c r="H42" s="195"/>
      <c r="I42" s="195"/>
      <c r="J42" s="195"/>
      <c r="K42" s="195"/>
      <c r="L42" s="195"/>
      <c r="M42" s="195"/>
      <c r="N42" s="195"/>
      <c r="O42" s="195"/>
    </row>
    <row r="43" spans="2:16" x14ac:dyDescent="0.2">
      <c r="B43" s="141" t="s">
        <v>115</v>
      </c>
      <c r="C43" s="142"/>
      <c r="D43" s="142"/>
      <c r="E43" s="142"/>
      <c r="F43" s="142"/>
    </row>
    <row r="44" spans="2:16" x14ac:dyDescent="0.2">
      <c r="B44" s="222"/>
      <c r="L44" s="55"/>
    </row>
    <row r="45" spans="2:16" x14ac:dyDescent="0.2">
      <c r="B45" s="217" t="s">
        <v>181</v>
      </c>
      <c r="C45" s="218">
        <f>SUM(D45:O45)</f>
        <v>9743.2900000000009</v>
      </c>
      <c r="D45" s="219">
        <f>D7-D13-D19-D20-D23</f>
        <v>1790.2499999999998</v>
      </c>
      <c r="E45" s="252">
        <f t="shared" ref="E45:N45" si="2">E7-E13-E19-E20-E23</f>
        <v>0</v>
      </c>
      <c r="F45" s="252">
        <f t="shared" si="2"/>
        <v>0</v>
      </c>
      <c r="G45" s="252">
        <f t="shared" si="2"/>
        <v>3038.17</v>
      </c>
      <c r="H45" s="252">
        <f t="shared" si="2"/>
        <v>-491.83</v>
      </c>
      <c r="I45" s="252">
        <f t="shared" si="2"/>
        <v>-32.000000000000057</v>
      </c>
      <c r="J45" s="252">
        <f t="shared" si="2"/>
        <v>0</v>
      </c>
      <c r="K45" s="252">
        <f t="shared" si="2"/>
        <v>0</v>
      </c>
      <c r="L45" s="252">
        <f>L7-L13-L19-L20-L23</f>
        <v>1774.66</v>
      </c>
      <c r="M45" s="252">
        <f>M7-M13-M19-M20-M23</f>
        <v>1792.66</v>
      </c>
      <c r="N45" s="252">
        <f t="shared" si="2"/>
        <v>18.000000000000014</v>
      </c>
      <c r="O45" s="253">
        <f>O7-O13-O19-O20-O23</f>
        <v>1853.38</v>
      </c>
    </row>
    <row r="46" spans="2:16" x14ac:dyDescent="0.2">
      <c r="E46" s="254"/>
      <c r="F46" s="254"/>
      <c r="G46" s="254"/>
      <c r="H46" s="254"/>
      <c r="I46" s="254"/>
      <c r="J46" s="254"/>
      <c r="K46" s="254"/>
      <c r="L46" s="254"/>
      <c r="M46" s="254"/>
      <c r="N46" s="254"/>
      <c r="O46" s="254"/>
    </row>
    <row r="47" spans="2:16" x14ac:dyDescent="0.2">
      <c r="E47" s="254"/>
      <c r="F47" s="254"/>
      <c r="G47" s="254"/>
      <c r="H47" s="254"/>
      <c r="I47" s="254"/>
      <c r="J47" s="254"/>
      <c r="K47" s="254"/>
      <c r="L47" s="254"/>
      <c r="M47" s="254"/>
      <c r="N47" s="254"/>
      <c r="O47" s="254"/>
    </row>
    <row r="48" spans="2:16" x14ac:dyDescent="0.2">
      <c r="E48" s="254"/>
      <c r="F48" s="254"/>
      <c r="G48" s="254"/>
      <c r="H48" s="254"/>
      <c r="I48" s="254"/>
      <c r="J48" s="254"/>
      <c r="K48" s="254"/>
      <c r="L48" s="254"/>
      <c r="M48" s="254"/>
      <c r="N48" s="254"/>
      <c r="O48" s="254"/>
    </row>
    <row r="49" spans="2:15" x14ac:dyDescent="0.2">
      <c r="E49" s="254"/>
      <c r="F49" s="254"/>
      <c r="G49" s="254"/>
      <c r="H49" s="254"/>
      <c r="I49" s="254"/>
      <c r="J49" s="254"/>
      <c r="K49" s="254"/>
      <c r="L49" s="254"/>
      <c r="M49" s="254"/>
      <c r="N49" s="254"/>
      <c r="O49" s="254"/>
    </row>
    <row r="50" spans="2:15" x14ac:dyDescent="0.2">
      <c r="E50" s="254"/>
      <c r="F50" s="254"/>
      <c r="G50" s="254"/>
      <c r="H50" s="254"/>
      <c r="I50" s="254"/>
      <c r="J50" s="254"/>
      <c r="K50" s="254"/>
      <c r="L50" s="254"/>
      <c r="M50" s="254"/>
      <c r="N50" s="254"/>
      <c r="O50" s="254"/>
    </row>
    <row r="51" spans="2:15" x14ac:dyDescent="0.2">
      <c r="E51" s="254"/>
      <c r="F51" s="254"/>
      <c r="G51" s="254"/>
      <c r="H51" s="254"/>
      <c r="I51" s="254"/>
      <c r="J51" s="254"/>
      <c r="K51" s="254"/>
      <c r="L51" s="254"/>
      <c r="M51" s="254"/>
      <c r="N51" s="254"/>
      <c r="O51" s="254"/>
    </row>
    <row r="52" spans="2:15" x14ac:dyDescent="0.2">
      <c r="E52" s="254"/>
      <c r="F52" s="254"/>
      <c r="G52" s="254"/>
      <c r="H52" s="254"/>
      <c r="I52" s="254"/>
      <c r="J52" s="254"/>
      <c r="K52" s="254"/>
      <c r="L52" s="254"/>
      <c r="M52" s="254"/>
      <c r="N52" s="254"/>
      <c r="O52" s="254"/>
    </row>
    <row r="53" spans="2:15" x14ac:dyDescent="0.2">
      <c r="B53" s="222" t="s">
        <v>162</v>
      </c>
      <c r="C53" s="225">
        <f>SUM(D53:O53)</f>
        <v>12712.560000000001</v>
      </c>
      <c r="D53" s="225">
        <f>D7-$B$52</f>
        <v>2153</v>
      </c>
      <c r="E53" s="302">
        <f t="shared" ref="E53:O53" si="3">E7-$B$52</f>
        <v>0</v>
      </c>
      <c r="F53" s="302">
        <f t="shared" si="3"/>
        <v>0</v>
      </c>
      <c r="G53" s="302">
        <f t="shared" si="3"/>
        <v>4000</v>
      </c>
      <c r="H53" s="302">
        <f t="shared" si="3"/>
        <v>0</v>
      </c>
      <c r="I53" s="302">
        <f t="shared" si="3"/>
        <v>0</v>
      </c>
      <c r="J53" s="302">
        <f t="shared" si="3"/>
        <v>0</v>
      </c>
      <c r="K53" s="302">
        <f t="shared" si="3"/>
        <v>0</v>
      </c>
      <c r="L53" s="302">
        <f t="shared" si="3"/>
        <v>2153.2800000000002</v>
      </c>
      <c r="M53" s="302">
        <f t="shared" si="3"/>
        <v>2153.2800000000002</v>
      </c>
      <c r="N53" s="302">
        <f t="shared" si="3"/>
        <v>0</v>
      </c>
      <c r="O53" s="302">
        <f t="shared" si="3"/>
        <v>2253</v>
      </c>
    </row>
    <row r="54" spans="2:15" x14ac:dyDescent="0.2">
      <c r="B54" s="222" t="s">
        <v>183</v>
      </c>
      <c r="C54" s="225">
        <f>D53*12</f>
        <v>25836</v>
      </c>
      <c r="E54" s="254"/>
      <c r="F54" s="254"/>
      <c r="G54" s="254"/>
      <c r="H54" s="254"/>
      <c r="I54" s="254"/>
      <c r="J54" s="254"/>
      <c r="K54" s="254"/>
      <c r="L54" s="254"/>
      <c r="M54" s="254"/>
      <c r="N54" s="254"/>
      <c r="O54" s="254"/>
    </row>
  </sheetData>
  <sheetProtection formatCells="0" formatColumns="0" formatRows="0" insertHyperlinks="0"/>
  <mergeCells count="1">
    <mergeCell ref="B41:D41"/>
  </mergeCells>
  <phoneticPr fontId="0" type="noConversion"/>
  <pageMargins left="0.23622047244094491" right="0.23622047244094491" top="0.74803149606299213" bottom="0.74803149606299213" header="0.31496062992125984" footer="0.31496062992125984"/>
  <pageSetup paperSize="9" scale="8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M73"/>
  <sheetViews>
    <sheetView topLeftCell="B1" workbookViewId="0">
      <selection activeCell="M7" sqref="M7"/>
    </sheetView>
  </sheetViews>
  <sheetFormatPr baseColWidth="10" defaultColWidth="0" defaultRowHeight="12.75" zeroHeight="1" x14ac:dyDescent="0.2"/>
  <cols>
    <col min="1" max="1" width="3.42578125" customWidth="1"/>
    <col min="2" max="2" width="13" customWidth="1"/>
    <col min="3" max="3" width="13" hidden="1" customWidth="1"/>
    <col min="4" max="5" width="13" customWidth="1"/>
    <col min="6" max="6" width="20.140625" customWidth="1"/>
    <col min="7" max="7" width="21.140625" customWidth="1"/>
    <col min="8" max="9" width="13" hidden="1" customWidth="1"/>
    <col min="10" max="10" width="2.28515625" customWidth="1"/>
    <col min="11" max="11" width="4.140625" customWidth="1"/>
    <col min="12" max="12" width="18.28515625" customWidth="1"/>
    <col min="13" max="13" width="23.85546875" customWidth="1"/>
  </cols>
  <sheetData>
    <row r="1" spans="1:13" x14ac:dyDescent="0.2">
      <c r="A1" s="48"/>
      <c r="B1" s="48"/>
      <c r="C1" s="48"/>
      <c r="D1" s="48"/>
      <c r="E1" s="48"/>
      <c r="F1" s="48"/>
      <c r="G1" s="48"/>
      <c r="H1" s="48"/>
      <c r="I1" s="48"/>
      <c r="J1" s="48"/>
      <c r="K1" s="48"/>
      <c r="L1" s="48"/>
      <c r="M1" s="48"/>
    </row>
    <row r="2" spans="1:13" ht="4.5" customHeight="1" x14ac:dyDescent="0.2">
      <c r="A2" s="48"/>
      <c r="B2" s="48"/>
      <c r="C2" s="48"/>
      <c r="D2" s="48"/>
      <c r="E2" s="48"/>
      <c r="F2" s="48"/>
      <c r="G2" s="48"/>
      <c r="H2" s="48"/>
      <c r="I2" s="48"/>
      <c r="J2" s="48"/>
      <c r="K2" s="48"/>
      <c r="L2" s="48"/>
      <c r="M2" s="48"/>
    </row>
    <row r="3" spans="1:13" x14ac:dyDescent="0.2">
      <c r="A3" s="48"/>
      <c r="B3" s="54" t="s">
        <v>107</v>
      </c>
      <c r="C3" s="48"/>
      <c r="D3" s="48"/>
      <c r="E3" s="48"/>
      <c r="F3" s="48"/>
      <c r="G3" s="305" t="s">
        <v>201</v>
      </c>
      <c r="H3" s="229"/>
      <c r="I3" s="229"/>
      <c r="J3" s="229"/>
      <c r="K3" s="229"/>
      <c r="L3" s="229"/>
      <c r="M3" s="48"/>
    </row>
    <row r="4" spans="1:13" x14ac:dyDescent="0.2">
      <c r="A4" s="48"/>
      <c r="B4" s="48"/>
      <c r="C4" s="48"/>
      <c r="D4" s="48"/>
      <c r="E4" s="48"/>
      <c r="F4" s="48"/>
      <c r="G4" s="48"/>
      <c r="H4" s="48"/>
      <c r="I4" s="48"/>
      <c r="J4" s="48"/>
      <c r="K4" s="48"/>
      <c r="L4" s="48"/>
      <c r="M4" s="48"/>
    </row>
    <row r="5" spans="1:13" x14ac:dyDescent="0.2">
      <c r="A5" s="48"/>
      <c r="B5" s="49" t="s">
        <v>68</v>
      </c>
      <c r="C5" s="50"/>
      <c r="D5" s="50"/>
      <c r="E5" s="50"/>
      <c r="F5" s="50"/>
      <c r="G5" s="48"/>
      <c r="H5" s="50"/>
      <c r="I5" s="50"/>
      <c r="J5" s="50"/>
      <c r="K5" s="50"/>
      <c r="L5" s="50"/>
      <c r="M5" s="50"/>
    </row>
    <row r="6" spans="1:13" x14ac:dyDescent="0.2">
      <c r="A6" s="48"/>
      <c r="B6" s="51"/>
      <c r="C6" s="51"/>
      <c r="D6" s="51"/>
      <c r="E6" s="51"/>
      <c r="F6" s="51"/>
      <c r="G6" s="51"/>
      <c r="H6" s="51"/>
      <c r="I6" s="51"/>
      <c r="J6" s="51"/>
      <c r="K6" s="51"/>
      <c r="L6" s="50"/>
      <c r="M6" s="50"/>
    </row>
    <row r="7" spans="1:13" x14ac:dyDescent="0.2">
      <c r="A7" s="48"/>
      <c r="B7" s="52" t="s">
        <v>0</v>
      </c>
      <c r="C7" s="51"/>
      <c r="D7" s="51"/>
      <c r="E7" s="51"/>
      <c r="F7" s="51"/>
      <c r="G7" s="51"/>
      <c r="H7" s="51"/>
      <c r="I7" s="51"/>
      <c r="J7" s="51"/>
      <c r="K7" s="51"/>
      <c r="L7" s="50"/>
      <c r="M7" s="50"/>
    </row>
    <row r="8" spans="1:13" x14ac:dyDescent="0.2">
      <c r="A8" s="48"/>
      <c r="B8" s="53" t="s">
        <v>4</v>
      </c>
      <c r="C8" s="51"/>
      <c r="D8" s="51"/>
      <c r="E8" s="51"/>
      <c r="F8" s="51"/>
      <c r="G8" s="51"/>
      <c r="H8" s="51"/>
      <c r="I8" s="51"/>
      <c r="J8" s="51"/>
      <c r="K8" s="51"/>
      <c r="L8" s="50"/>
      <c r="M8" s="50"/>
    </row>
    <row r="9" spans="1:13" x14ac:dyDescent="0.2">
      <c r="A9" s="48"/>
      <c r="B9" s="51"/>
      <c r="C9" s="51"/>
      <c r="D9" s="51"/>
      <c r="E9" s="51"/>
      <c r="F9" s="51"/>
      <c r="G9" s="51"/>
      <c r="H9" s="51"/>
      <c r="I9" s="51"/>
      <c r="J9" s="51"/>
      <c r="K9" s="51"/>
      <c r="L9" s="48"/>
      <c r="M9" s="48"/>
    </row>
    <row r="10" spans="1:13" x14ac:dyDescent="0.2">
      <c r="A10" s="48"/>
      <c r="B10" s="52" t="s">
        <v>2</v>
      </c>
      <c r="C10" s="51"/>
      <c r="D10" s="51"/>
      <c r="E10" s="51"/>
      <c r="F10" s="51"/>
      <c r="G10" s="51"/>
      <c r="H10" s="51"/>
      <c r="I10" s="51"/>
      <c r="J10" s="51"/>
      <c r="K10" s="51"/>
      <c r="L10" s="48"/>
      <c r="M10" s="48"/>
    </row>
    <row r="11" spans="1:13" x14ac:dyDescent="0.2">
      <c r="A11" s="48"/>
      <c r="B11" s="53" t="s">
        <v>3</v>
      </c>
      <c r="C11" s="51"/>
      <c r="D11" s="51"/>
      <c r="E11" s="51"/>
      <c r="F11" s="51"/>
      <c r="G11" s="51"/>
      <c r="H11" s="51"/>
      <c r="I11" s="51"/>
      <c r="J11" s="51"/>
      <c r="K11" s="51"/>
      <c r="L11" s="48"/>
      <c r="M11" s="48"/>
    </row>
    <row r="12" spans="1:13" x14ac:dyDescent="0.2">
      <c r="A12" s="48"/>
      <c r="B12" s="51" t="s">
        <v>172</v>
      </c>
      <c r="C12" s="51"/>
      <c r="D12" s="51"/>
      <c r="E12" s="51"/>
      <c r="F12" s="51"/>
      <c r="G12" s="51"/>
      <c r="H12" s="51"/>
      <c r="I12" s="51"/>
      <c r="J12" s="51"/>
      <c r="K12" s="51"/>
      <c r="L12" s="48"/>
      <c r="M12" s="48"/>
    </row>
    <row r="13" spans="1:13" x14ac:dyDescent="0.2">
      <c r="A13" s="48"/>
      <c r="B13" s="51" t="s">
        <v>173</v>
      </c>
      <c r="C13" s="51"/>
      <c r="D13" s="51"/>
      <c r="E13" s="51"/>
      <c r="F13" s="51"/>
      <c r="G13" s="51"/>
      <c r="H13" s="51"/>
      <c r="I13" s="51"/>
      <c r="J13" s="51"/>
      <c r="K13" s="51"/>
      <c r="L13" s="48"/>
      <c r="M13" s="48"/>
    </row>
    <row r="14" spans="1:13" x14ac:dyDescent="0.2">
      <c r="A14" s="48"/>
      <c r="B14" s="51" t="s">
        <v>69</v>
      </c>
      <c r="C14" s="51"/>
      <c r="D14" s="51"/>
      <c r="E14" s="51"/>
      <c r="F14" s="51"/>
      <c r="G14" s="51"/>
      <c r="H14" s="51"/>
      <c r="I14" s="51"/>
      <c r="J14" s="51"/>
      <c r="K14" s="51"/>
      <c r="L14" s="48"/>
      <c r="M14" s="48"/>
    </row>
    <row r="15" spans="1:13" x14ac:dyDescent="0.2">
      <c r="A15" s="48"/>
      <c r="B15" s="53" t="s">
        <v>80</v>
      </c>
      <c r="C15" s="51"/>
      <c r="D15" s="51"/>
      <c r="E15" s="51"/>
      <c r="F15" s="51"/>
      <c r="G15" s="51"/>
      <c r="H15" s="51"/>
      <c r="I15" s="51"/>
      <c r="J15" s="51"/>
      <c r="K15" s="51"/>
      <c r="L15" s="48"/>
      <c r="M15" s="48"/>
    </row>
    <row r="16" spans="1:13" x14ac:dyDescent="0.2">
      <c r="A16" s="48"/>
      <c r="B16" s="51" t="s">
        <v>148</v>
      </c>
      <c r="C16" s="51"/>
      <c r="D16" s="51"/>
      <c r="E16" s="51"/>
      <c r="F16" s="51"/>
      <c r="G16" s="51"/>
      <c r="H16" s="51"/>
      <c r="I16" s="51"/>
      <c r="J16" s="51"/>
      <c r="K16" s="51"/>
      <c r="L16" s="48"/>
      <c r="M16" s="48"/>
    </row>
    <row r="17" spans="1:13" x14ac:dyDescent="0.2">
      <c r="A17" s="48"/>
      <c r="B17" s="51" t="s">
        <v>81</v>
      </c>
      <c r="C17" s="51"/>
      <c r="D17" s="51"/>
      <c r="E17" s="51"/>
      <c r="F17" s="51"/>
      <c r="G17" s="51"/>
      <c r="H17" s="51"/>
      <c r="I17" s="51"/>
      <c r="J17" s="51"/>
      <c r="K17" s="51"/>
      <c r="L17" s="48"/>
      <c r="M17" s="48"/>
    </row>
    <row r="18" spans="1:13" x14ac:dyDescent="0.2">
      <c r="A18" s="48"/>
      <c r="B18" s="51" t="s">
        <v>133</v>
      </c>
      <c r="C18" s="51"/>
      <c r="D18" s="51"/>
      <c r="E18" s="51"/>
      <c r="F18" s="51"/>
      <c r="G18" s="51"/>
      <c r="H18" s="51"/>
      <c r="I18" s="51"/>
      <c r="J18" s="51"/>
      <c r="K18" s="51"/>
      <c r="L18" s="48"/>
      <c r="M18" s="48"/>
    </row>
    <row r="19" spans="1:13" x14ac:dyDescent="0.2">
      <c r="A19" s="48"/>
      <c r="B19" s="100" t="s">
        <v>120</v>
      </c>
      <c r="C19" s="51"/>
      <c r="D19" s="51"/>
      <c r="E19" s="51"/>
      <c r="F19" s="51"/>
      <c r="G19" s="51"/>
      <c r="H19" s="51"/>
      <c r="I19" s="51"/>
      <c r="J19" s="51"/>
      <c r="K19" s="51"/>
      <c r="L19" s="48"/>
      <c r="M19" s="48"/>
    </row>
    <row r="20" spans="1:13" x14ac:dyDescent="0.2">
      <c r="A20" s="48"/>
      <c r="B20" s="99" t="s">
        <v>118</v>
      </c>
      <c r="C20" s="51"/>
      <c r="D20" s="51"/>
      <c r="E20" s="51"/>
      <c r="F20" s="51"/>
      <c r="G20" s="51"/>
      <c r="H20" s="51"/>
      <c r="I20" s="51"/>
      <c r="J20" s="51"/>
      <c r="K20" s="51"/>
      <c r="L20" s="48"/>
      <c r="M20" s="48"/>
    </row>
    <row r="21" spans="1:13" x14ac:dyDescent="0.2">
      <c r="A21" s="48"/>
      <c r="B21" s="99" t="s">
        <v>119</v>
      </c>
      <c r="C21" s="51"/>
      <c r="D21" s="51"/>
      <c r="E21" s="51"/>
      <c r="F21" s="51"/>
      <c r="G21" s="51"/>
      <c r="H21" s="51"/>
      <c r="I21" s="51"/>
      <c r="J21" s="51"/>
      <c r="K21" s="51"/>
      <c r="L21" s="48"/>
      <c r="M21" s="48"/>
    </row>
    <row r="22" spans="1:13" x14ac:dyDescent="0.2">
      <c r="A22" s="48"/>
      <c r="B22" s="99" t="s">
        <v>121</v>
      </c>
      <c r="C22" s="51"/>
      <c r="D22" s="51"/>
      <c r="E22" s="51"/>
      <c r="F22" s="51"/>
      <c r="G22" s="51"/>
      <c r="H22" s="51"/>
      <c r="I22" s="51"/>
      <c r="J22" s="51"/>
      <c r="K22" s="51"/>
      <c r="L22" s="48"/>
      <c r="M22" s="48"/>
    </row>
    <row r="23" spans="1:13" ht="11.25" customHeight="1" x14ac:dyDescent="0.2">
      <c r="A23" s="48"/>
      <c r="B23" s="52" t="s">
        <v>130</v>
      </c>
      <c r="C23" s="52"/>
      <c r="D23" s="52"/>
      <c r="E23" s="52"/>
      <c r="F23" s="51"/>
      <c r="G23" s="51"/>
      <c r="H23" s="51"/>
      <c r="I23" s="51"/>
      <c r="J23" s="51"/>
      <c r="K23" s="51"/>
      <c r="L23" s="48"/>
      <c r="M23" s="48"/>
    </row>
    <row r="24" spans="1:13" ht="6.75" customHeight="1" x14ac:dyDescent="0.2">
      <c r="A24" s="48"/>
      <c r="B24" s="52"/>
      <c r="C24" s="52"/>
      <c r="D24" s="52"/>
      <c r="E24" s="52"/>
      <c r="F24" s="51"/>
      <c r="G24" s="51"/>
      <c r="H24" s="51"/>
      <c r="I24" s="51"/>
      <c r="J24" s="51"/>
      <c r="K24" s="51"/>
      <c r="L24" s="48"/>
      <c r="M24" s="48"/>
    </row>
    <row r="25" spans="1:13" ht="12.75" customHeight="1" x14ac:dyDescent="0.2">
      <c r="A25" s="48"/>
      <c r="B25" s="159" t="s">
        <v>167</v>
      </c>
      <c r="C25" s="52"/>
      <c r="D25" s="52"/>
      <c r="E25" s="52"/>
      <c r="F25" s="51"/>
      <c r="G25" s="51"/>
      <c r="H25" s="51"/>
      <c r="I25" s="51"/>
      <c r="J25" s="51"/>
      <c r="K25" s="51"/>
      <c r="L25" s="48"/>
      <c r="M25" s="48"/>
    </row>
    <row r="26" spans="1:13" ht="12.75" customHeight="1" x14ac:dyDescent="0.2">
      <c r="A26" s="48"/>
      <c r="B26" s="52" t="s">
        <v>132</v>
      </c>
      <c r="C26" s="52"/>
      <c r="D26" s="52"/>
      <c r="E26" s="52"/>
      <c r="F26" s="51"/>
      <c r="G26" s="51"/>
      <c r="H26" s="51"/>
      <c r="I26" s="51"/>
      <c r="J26" s="51"/>
      <c r="K26" s="51"/>
      <c r="L26" s="48"/>
      <c r="M26" s="48"/>
    </row>
    <row r="27" spans="1:13" ht="12" customHeight="1" x14ac:dyDescent="0.2">
      <c r="A27" s="48"/>
      <c r="B27" s="99" t="s">
        <v>168</v>
      </c>
      <c r="C27" s="52"/>
      <c r="D27" s="52"/>
      <c r="E27" s="52"/>
      <c r="F27" s="51"/>
      <c r="G27" s="51"/>
      <c r="H27" s="51"/>
      <c r="I27" s="51"/>
      <c r="J27" s="51"/>
      <c r="K27" s="51"/>
      <c r="L27" s="48"/>
      <c r="M27" s="48"/>
    </row>
    <row r="28" spans="1:13" ht="6" customHeight="1" x14ac:dyDescent="0.2">
      <c r="A28" s="48"/>
      <c r="B28" s="99"/>
      <c r="C28" s="52"/>
      <c r="D28" s="52"/>
      <c r="E28" s="52"/>
      <c r="F28" s="51"/>
      <c r="G28" s="51"/>
      <c r="H28" s="51"/>
      <c r="I28" s="51"/>
      <c r="J28" s="51"/>
      <c r="K28" s="51"/>
      <c r="L28" s="48"/>
      <c r="M28" s="48"/>
    </row>
    <row r="29" spans="1:13" ht="12" customHeight="1" x14ac:dyDescent="0.2">
      <c r="A29" s="48"/>
      <c r="B29" s="53" t="s">
        <v>149</v>
      </c>
      <c r="C29" s="51"/>
      <c r="D29" s="51"/>
      <c r="E29" s="51"/>
      <c r="F29" s="51"/>
      <c r="G29" s="51"/>
      <c r="H29" s="51"/>
      <c r="I29" s="51"/>
      <c r="J29" s="51"/>
      <c r="K29" s="51"/>
      <c r="L29" s="48"/>
      <c r="M29" s="48"/>
    </row>
    <row r="30" spans="1:13" ht="12" customHeight="1" x14ac:dyDescent="0.2">
      <c r="A30" s="48"/>
      <c r="B30" s="51" t="s">
        <v>150</v>
      </c>
      <c r="C30" s="51"/>
      <c r="D30" s="51"/>
      <c r="E30" s="51"/>
      <c r="F30" s="51"/>
      <c r="G30" s="51"/>
      <c r="H30" s="51"/>
      <c r="I30" s="51"/>
      <c r="J30" s="51"/>
      <c r="K30" s="51"/>
      <c r="L30" s="48"/>
      <c r="M30" s="48"/>
    </row>
    <row r="31" spans="1:13" ht="12" customHeight="1" x14ac:dyDescent="0.2">
      <c r="A31" s="48"/>
      <c r="B31" s="51" t="s">
        <v>155</v>
      </c>
      <c r="C31" s="51"/>
      <c r="D31" s="51"/>
      <c r="E31" s="51"/>
      <c r="F31" s="51"/>
      <c r="G31" s="51"/>
      <c r="H31" s="51"/>
      <c r="I31" s="51"/>
      <c r="J31" s="51"/>
      <c r="K31" s="51"/>
      <c r="L31" s="48"/>
      <c r="M31" s="48"/>
    </row>
    <row r="32" spans="1:13" ht="12" customHeight="1" x14ac:dyDescent="0.2">
      <c r="A32" s="48"/>
      <c r="B32" s="51" t="s">
        <v>166</v>
      </c>
      <c r="C32" s="51"/>
      <c r="D32" s="51"/>
      <c r="E32" s="51"/>
      <c r="F32" s="51"/>
      <c r="G32" s="51"/>
      <c r="H32" s="51"/>
      <c r="I32" s="51"/>
      <c r="J32" s="51"/>
      <c r="K32" s="51"/>
      <c r="L32" s="48"/>
      <c r="M32" s="48"/>
    </row>
    <row r="33" spans="1:13" ht="14.25" customHeight="1" x14ac:dyDescent="0.2">
      <c r="A33" s="48"/>
      <c r="B33" s="51" t="s">
        <v>165</v>
      </c>
      <c r="C33" s="51"/>
      <c r="D33" s="51"/>
      <c r="E33" s="51"/>
      <c r="F33" s="51"/>
      <c r="G33" s="51"/>
      <c r="H33" s="51"/>
      <c r="I33" s="51"/>
      <c r="J33" s="51"/>
      <c r="K33" s="51"/>
      <c r="L33" s="48"/>
      <c r="M33" s="48"/>
    </row>
    <row r="34" spans="1:13" ht="12" customHeight="1" x14ac:dyDescent="0.2">
      <c r="A34" s="48"/>
      <c r="B34" s="99" t="s">
        <v>156</v>
      </c>
      <c r="C34" s="51"/>
      <c r="D34" s="51"/>
      <c r="E34" s="51"/>
      <c r="F34" s="51"/>
      <c r="G34" s="51"/>
      <c r="H34" s="51"/>
      <c r="I34" s="51"/>
      <c r="J34" s="51"/>
      <c r="K34" s="51"/>
      <c r="L34" s="48"/>
      <c r="M34" s="48"/>
    </row>
    <row r="35" spans="1:13" ht="12.75" customHeight="1" x14ac:dyDescent="0.2">
      <c r="A35" s="48"/>
      <c r="B35" s="99" t="s">
        <v>157</v>
      </c>
      <c r="C35" s="51"/>
      <c r="D35" s="51"/>
      <c r="E35" s="51"/>
      <c r="F35" s="51"/>
      <c r="G35" s="51"/>
      <c r="H35" s="51"/>
      <c r="I35" s="51"/>
      <c r="J35" s="51"/>
      <c r="K35" s="51"/>
      <c r="L35" s="48"/>
      <c r="M35" s="48"/>
    </row>
    <row r="36" spans="1:13" ht="13.5" customHeight="1" x14ac:dyDescent="0.2">
      <c r="A36" s="48"/>
      <c r="B36" s="99" t="s">
        <v>158</v>
      </c>
      <c r="C36" s="51"/>
      <c r="D36" s="51"/>
      <c r="E36" s="51"/>
      <c r="F36" s="51"/>
      <c r="G36" s="51"/>
      <c r="H36" s="51"/>
      <c r="I36" s="51"/>
      <c r="J36" s="51"/>
      <c r="K36" s="51"/>
      <c r="L36" s="48"/>
      <c r="M36" s="48"/>
    </row>
    <row r="37" spans="1:13" ht="5.25" customHeight="1" x14ac:dyDescent="0.2">
      <c r="A37" s="48"/>
      <c r="B37" s="51"/>
      <c r="C37" s="51"/>
      <c r="D37" s="51"/>
      <c r="E37" s="51"/>
      <c r="F37" s="51"/>
      <c r="G37" s="51"/>
      <c r="H37" s="51"/>
      <c r="I37" s="51"/>
      <c r="J37" s="51"/>
      <c r="K37" s="51"/>
      <c r="L37" s="48"/>
      <c r="M37" s="48"/>
    </row>
    <row r="38" spans="1:13" x14ac:dyDescent="0.2">
      <c r="A38" s="48"/>
      <c r="B38" s="213" t="s">
        <v>83</v>
      </c>
      <c r="C38" s="51"/>
      <c r="D38" s="51"/>
      <c r="E38" s="51"/>
      <c r="F38" s="51"/>
      <c r="G38" s="51"/>
      <c r="H38" s="51"/>
      <c r="I38" s="51"/>
      <c r="J38" s="51"/>
      <c r="K38" s="51"/>
      <c r="L38" s="48"/>
      <c r="M38" s="48"/>
    </row>
    <row r="39" spans="1:13" x14ac:dyDescent="0.2">
      <c r="A39" s="48"/>
      <c r="B39" s="100" t="s">
        <v>84</v>
      </c>
      <c r="C39" s="51"/>
      <c r="D39" s="51"/>
      <c r="E39" s="51"/>
      <c r="F39" s="51"/>
      <c r="G39" s="51"/>
      <c r="H39" s="51"/>
      <c r="I39" s="51"/>
      <c r="J39" s="51"/>
      <c r="K39" s="51"/>
      <c r="L39" s="48"/>
      <c r="M39" s="48"/>
    </row>
    <row r="40" spans="1:13" x14ac:dyDescent="0.2">
      <c r="A40" s="48"/>
      <c r="B40" s="52" t="s">
        <v>131</v>
      </c>
      <c r="C40" s="51"/>
      <c r="D40" s="51"/>
      <c r="E40" s="51"/>
      <c r="F40" s="51"/>
      <c r="G40" s="51"/>
      <c r="H40" s="51"/>
      <c r="I40" s="51"/>
      <c r="J40" s="51"/>
      <c r="K40" s="51"/>
      <c r="L40" s="48"/>
      <c r="M40" s="48"/>
    </row>
    <row r="41" spans="1:13" x14ac:dyDescent="0.2">
      <c r="A41" s="48"/>
      <c r="B41" s="99" t="s">
        <v>88</v>
      </c>
      <c r="C41" s="51"/>
      <c r="D41" s="51"/>
      <c r="E41" s="51"/>
      <c r="F41" s="51"/>
      <c r="G41" s="51"/>
      <c r="H41" s="51"/>
      <c r="I41" s="51"/>
      <c r="J41" s="51"/>
      <c r="K41" s="51"/>
      <c r="L41" s="48"/>
      <c r="M41" s="48"/>
    </row>
    <row r="42" spans="1:13" x14ac:dyDescent="0.2">
      <c r="A42" s="48"/>
      <c r="B42" s="99" t="s">
        <v>85</v>
      </c>
      <c r="C42" s="51"/>
      <c r="D42" s="51"/>
      <c r="E42" s="51"/>
      <c r="F42" s="51"/>
      <c r="G42" s="51"/>
      <c r="H42" s="51"/>
      <c r="I42" s="51"/>
      <c r="J42" s="51"/>
      <c r="K42" s="51"/>
      <c r="L42" s="48"/>
      <c r="M42" s="48"/>
    </row>
    <row r="43" spans="1:13" x14ac:dyDescent="0.2">
      <c r="A43" s="48"/>
      <c r="B43" s="99" t="s">
        <v>87</v>
      </c>
      <c r="C43" s="51"/>
      <c r="D43" s="51"/>
      <c r="E43" s="51"/>
      <c r="F43" s="51"/>
      <c r="G43" s="51"/>
      <c r="H43" s="51"/>
      <c r="I43" s="51"/>
      <c r="J43" s="51"/>
      <c r="K43" s="51"/>
      <c r="L43" s="48"/>
      <c r="M43" s="48"/>
    </row>
    <row r="44" spans="1:13" x14ac:dyDescent="0.2">
      <c r="A44" s="48"/>
      <c r="B44" s="99" t="s">
        <v>86</v>
      </c>
      <c r="C44" s="51"/>
      <c r="D44" s="51"/>
      <c r="E44" s="51"/>
      <c r="F44" s="51"/>
      <c r="G44" s="51"/>
      <c r="H44" s="51"/>
      <c r="I44" s="51"/>
      <c r="J44" s="51"/>
      <c r="K44" s="51"/>
      <c r="L44" s="48"/>
      <c r="M44" s="48"/>
    </row>
    <row r="45" spans="1:13" x14ac:dyDescent="0.2">
      <c r="A45" s="48"/>
      <c r="B45" s="100" t="s">
        <v>114</v>
      </c>
      <c r="C45" s="51"/>
      <c r="D45" s="51"/>
      <c r="E45" s="51"/>
      <c r="F45" s="51"/>
      <c r="G45" s="51"/>
      <c r="H45" s="51"/>
      <c r="I45" s="51"/>
      <c r="J45" s="51"/>
      <c r="K45" s="51"/>
      <c r="L45" s="48"/>
      <c r="M45" s="48"/>
    </row>
    <row r="46" spans="1:13" x14ac:dyDescent="0.2">
      <c r="A46" s="48"/>
      <c r="B46" s="99" t="s">
        <v>113</v>
      </c>
      <c r="C46" s="51"/>
      <c r="D46" s="51"/>
      <c r="E46" s="51"/>
      <c r="F46" s="51"/>
      <c r="G46" s="51"/>
      <c r="H46" s="51"/>
      <c r="I46" s="51"/>
      <c r="J46" s="51"/>
      <c r="K46" s="51"/>
      <c r="L46" s="48"/>
      <c r="M46" s="48"/>
    </row>
    <row r="47" spans="1:13" x14ac:dyDescent="0.2">
      <c r="A47" s="48"/>
      <c r="B47" s="51"/>
      <c r="C47" s="51"/>
      <c r="D47" s="51"/>
      <c r="E47" s="51"/>
      <c r="F47" s="51"/>
      <c r="G47" s="51"/>
      <c r="H47" s="51"/>
      <c r="I47" s="51"/>
      <c r="J47" s="51"/>
      <c r="K47" s="51"/>
      <c r="L47" s="48"/>
      <c r="M47" s="48"/>
    </row>
    <row r="48" spans="1:13" x14ac:dyDescent="0.2">
      <c r="A48" s="48"/>
      <c r="B48" s="52" t="s">
        <v>1</v>
      </c>
      <c r="C48" s="51"/>
      <c r="D48" s="51"/>
      <c r="E48" s="51"/>
      <c r="F48" s="51"/>
      <c r="G48" s="51"/>
      <c r="H48" s="51"/>
      <c r="I48" s="51"/>
      <c r="J48" s="51"/>
      <c r="K48" s="51"/>
      <c r="L48" s="48"/>
      <c r="M48" s="48"/>
    </row>
    <row r="49" spans="1:13" x14ac:dyDescent="0.2">
      <c r="A49" s="48"/>
      <c r="B49" s="53" t="s">
        <v>70</v>
      </c>
      <c r="C49" s="51"/>
      <c r="D49" s="51"/>
      <c r="E49" s="51"/>
      <c r="F49" s="51"/>
      <c r="G49" s="51"/>
      <c r="H49" s="51"/>
      <c r="I49" s="51"/>
      <c r="J49" s="51"/>
      <c r="K49" s="51"/>
      <c r="L49" s="48"/>
      <c r="M49" s="48"/>
    </row>
    <row r="50" spans="1:13" x14ac:dyDescent="0.2">
      <c r="A50" s="48"/>
      <c r="B50" s="51" t="s">
        <v>71</v>
      </c>
      <c r="C50" s="51"/>
      <c r="D50" s="51"/>
      <c r="E50" s="51"/>
      <c r="F50" s="51"/>
      <c r="G50" s="51"/>
      <c r="H50" s="51"/>
      <c r="I50" s="51"/>
      <c r="J50" s="51"/>
      <c r="K50" s="51"/>
      <c r="L50" s="48"/>
      <c r="M50" s="48"/>
    </row>
    <row r="51" spans="1:13" x14ac:dyDescent="0.2">
      <c r="A51" s="48"/>
      <c r="B51" s="51" t="s">
        <v>170</v>
      </c>
      <c r="C51" s="51"/>
      <c r="D51" s="51"/>
      <c r="E51" s="51"/>
      <c r="F51" s="51"/>
      <c r="G51" s="51"/>
      <c r="H51" s="51"/>
      <c r="I51" s="51"/>
      <c r="J51" s="51"/>
      <c r="K51" s="51"/>
      <c r="L51" s="48"/>
      <c r="M51" s="48"/>
    </row>
    <row r="52" spans="1:13" x14ac:dyDescent="0.2">
      <c r="A52" s="48"/>
      <c r="B52" s="51" t="s">
        <v>72</v>
      </c>
      <c r="C52" s="51"/>
      <c r="D52" s="51"/>
      <c r="E52" s="51"/>
      <c r="F52" s="51"/>
      <c r="G52" s="51"/>
      <c r="H52" s="51"/>
      <c r="I52" s="51"/>
      <c r="J52" s="51"/>
      <c r="K52" s="51"/>
      <c r="L52" s="48"/>
      <c r="M52" s="48"/>
    </row>
    <row r="53" spans="1:13" x14ac:dyDescent="0.2">
      <c r="A53" s="48"/>
      <c r="B53" s="51" t="s">
        <v>73</v>
      </c>
      <c r="C53" s="51"/>
      <c r="D53" s="51"/>
      <c r="E53" s="51"/>
      <c r="F53" s="51"/>
      <c r="G53" s="51"/>
      <c r="H53" s="51"/>
      <c r="I53" s="51"/>
      <c r="J53" s="51"/>
      <c r="K53" s="51"/>
      <c r="L53" s="48"/>
      <c r="M53" s="48"/>
    </row>
    <row r="54" spans="1:13" x14ac:dyDescent="0.2">
      <c r="A54" s="48"/>
      <c r="B54" s="51" t="s">
        <v>74</v>
      </c>
      <c r="C54" s="48"/>
      <c r="D54" s="48"/>
      <c r="E54" s="48"/>
      <c r="F54" s="48"/>
      <c r="G54" s="48"/>
      <c r="H54" s="48"/>
      <c r="I54" s="48"/>
      <c r="J54" s="48"/>
      <c r="K54" s="48"/>
      <c r="L54" s="48"/>
      <c r="M54" s="48"/>
    </row>
    <row r="55" spans="1:13" x14ac:dyDescent="0.2">
      <c r="A55" s="48"/>
      <c r="B55" s="149" t="s">
        <v>143</v>
      </c>
      <c r="C55" s="48"/>
      <c r="D55" s="48"/>
      <c r="E55" s="48"/>
      <c r="F55" s="48"/>
      <c r="G55" s="48"/>
      <c r="H55" s="48"/>
      <c r="I55" s="48"/>
      <c r="J55" s="48"/>
      <c r="K55" s="48"/>
      <c r="L55" s="48"/>
      <c r="M55" s="48"/>
    </row>
    <row r="56" spans="1:13" x14ac:dyDescent="0.2">
      <c r="A56" s="48"/>
      <c r="B56" s="196" t="s">
        <v>144</v>
      </c>
      <c r="C56" s="51"/>
      <c r="D56" s="51"/>
      <c r="E56" s="51"/>
      <c r="F56" s="51"/>
      <c r="G56" s="51"/>
      <c r="H56" s="51"/>
      <c r="I56" s="51"/>
      <c r="J56" s="51"/>
      <c r="K56" s="51"/>
      <c r="L56" s="48"/>
      <c r="M56" s="48"/>
    </row>
    <row r="57" spans="1:13" x14ac:dyDescent="0.2">
      <c r="A57" s="48"/>
      <c r="B57" s="100" t="s">
        <v>145</v>
      </c>
      <c r="C57" s="51"/>
      <c r="D57" s="51"/>
      <c r="E57" s="51"/>
      <c r="F57" s="51"/>
      <c r="G57" s="51"/>
      <c r="H57" s="51"/>
      <c r="I57" s="51"/>
      <c r="J57" s="51"/>
      <c r="K57" s="51"/>
      <c r="L57" s="48"/>
      <c r="M57" s="48"/>
    </row>
    <row r="58" spans="1:13" x14ac:dyDescent="0.2">
      <c r="A58" s="48"/>
      <c r="B58" s="99" t="s">
        <v>146</v>
      </c>
      <c r="C58" s="51"/>
      <c r="D58" s="51"/>
      <c r="E58" s="51"/>
      <c r="F58" s="51"/>
      <c r="G58" s="51"/>
      <c r="H58" s="51"/>
      <c r="I58" s="51"/>
      <c r="J58" s="51"/>
      <c r="K58" s="51"/>
      <c r="L58" s="48"/>
      <c r="M58" s="48"/>
    </row>
    <row r="59" spans="1:13" x14ac:dyDescent="0.2">
      <c r="A59" s="48"/>
      <c r="B59" s="51"/>
      <c r="C59" s="51"/>
      <c r="D59" s="51"/>
      <c r="E59" s="51"/>
      <c r="F59" s="51"/>
      <c r="G59" s="51"/>
      <c r="H59" s="51"/>
      <c r="I59" s="51"/>
      <c r="J59" s="51"/>
      <c r="K59" s="51"/>
      <c r="L59" s="48"/>
      <c r="M59" s="48"/>
    </row>
    <row r="60" spans="1:13" x14ac:dyDescent="0.2">
      <c r="A60" s="48"/>
      <c r="B60" s="52" t="s">
        <v>152</v>
      </c>
      <c r="C60" s="51"/>
      <c r="D60" s="51"/>
      <c r="E60" s="51"/>
      <c r="F60" s="51"/>
      <c r="G60" s="51"/>
      <c r="H60" s="51"/>
      <c r="I60" s="51"/>
      <c r="J60" s="51"/>
      <c r="K60" s="51"/>
      <c r="L60" s="48"/>
      <c r="M60" s="48"/>
    </row>
    <row r="61" spans="1:13" x14ac:dyDescent="0.2">
      <c r="A61" s="48"/>
      <c r="B61" s="99" t="s">
        <v>171</v>
      </c>
      <c r="C61" s="51"/>
      <c r="D61" s="51"/>
      <c r="E61" s="51"/>
      <c r="F61" s="51"/>
      <c r="G61" s="51"/>
      <c r="H61" s="51"/>
      <c r="I61" s="51"/>
      <c r="J61" s="51"/>
      <c r="K61" s="51"/>
      <c r="L61" s="48"/>
      <c r="M61" s="48"/>
    </row>
    <row r="62" spans="1:13" x14ac:dyDescent="0.2">
      <c r="A62" s="48"/>
      <c r="B62" s="51"/>
      <c r="C62" s="51"/>
      <c r="D62" s="51"/>
      <c r="E62" s="51"/>
      <c r="F62" s="51"/>
      <c r="G62" s="51"/>
      <c r="H62" s="51"/>
      <c r="I62" s="51"/>
      <c r="J62" s="51"/>
      <c r="K62" s="51"/>
      <c r="L62" s="48"/>
      <c r="M62" s="48"/>
    </row>
    <row r="63" spans="1:13" hidden="1" x14ac:dyDescent="0.2">
      <c r="B63" s="47"/>
      <c r="C63" s="47"/>
      <c r="D63" s="47"/>
      <c r="E63" s="47"/>
      <c r="F63" s="47"/>
      <c r="G63" s="47"/>
      <c r="H63" s="47"/>
      <c r="I63" s="47"/>
      <c r="J63" s="47"/>
      <c r="K63" s="47"/>
    </row>
    <row r="64" spans="1:13" hidden="1" x14ac:dyDescent="0.2">
      <c r="B64" s="47"/>
      <c r="C64" s="47"/>
      <c r="D64" s="47"/>
      <c r="E64" s="47"/>
      <c r="F64" s="47"/>
      <c r="G64" s="47"/>
      <c r="H64" s="47"/>
      <c r="I64" s="47"/>
      <c r="J64" s="47"/>
      <c r="K64" s="47"/>
    </row>
    <row r="65" spans="2:11" hidden="1" x14ac:dyDescent="0.2">
      <c r="B65" s="47"/>
      <c r="C65" s="47"/>
      <c r="D65" s="47"/>
      <c r="E65" s="47"/>
      <c r="F65" s="47"/>
      <c r="G65" s="47"/>
      <c r="H65" s="47"/>
      <c r="I65" s="47"/>
      <c r="J65" s="47"/>
      <c r="K65" s="47"/>
    </row>
    <row r="66" spans="2:11" hidden="1" x14ac:dyDescent="0.2">
      <c r="B66" s="47"/>
      <c r="C66" s="47"/>
      <c r="D66" s="47"/>
      <c r="E66" s="47"/>
      <c r="F66" s="47"/>
      <c r="G66" s="47"/>
      <c r="H66" s="47"/>
      <c r="I66" s="47"/>
      <c r="J66" s="47"/>
      <c r="K66" s="47"/>
    </row>
    <row r="67" spans="2:11" hidden="1" x14ac:dyDescent="0.2">
      <c r="B67" s="47"/>
      <c r="C67" s="47"/>
      <c r="D67" s="47"/>
      <c r="E67" s="47"/>
      <c r="F67" s="47"/>
      <c r="G67" s="47"/>
      <c r="H67" s="47"/>
      <c r="I67" s="47"/>
      <c r="J67" s="47"/>
      <c r="K67" s="47"/>
    </row>
    <row r="68" spans="2:11" hidden="1" x14ac:dyDescent="0.2">
      <c r="B68" s="47"/>
      <c r="C68" s="47"/>
      <c r="D68" s="47"/>
      <c r="E68" s="47"/>
      <c r="F68" s="47"/>
      <c r="G68" s="47"/>
      <c r="H68" s="47"/>
      <c r="I68" s="47"/>
      <c r="J68" s="47"/>
      <c r="K68" s="47"/>
    </row>
    <row r="69" spans="2:11" hidden="1" x14ac:dyDescent="0.2">
      <c r="B69" s="47"/>
      <c r="C69" s="47"/>
      <c r="D69" s="47"/>
      <c r="E69" s="47"/>
      <c r="F69" s="47"/>
      <c r="G69" s="47"/>
      <c r="H69" s="47"/>
      <c r="I69" s="47"/>
      <c r="J69" s="47"/>
      <c r="K69" s="47"/>
    </row>
    <row r="70" spans="2:11" hidden="1" x14ac:dyDescent="0.2">
      <c r="B70" s="47"/>
      <c r="C70" s="47"/>
      <c r="D70" s="47"/>
      <c r="E70" s="47"/>
      <c r="F70" s="47"/>
      <c r="G70" s="47"/>
      <c r="H70" s="47"/>
      <c r="I70" s="47"/>
      <c r="J70" s="47"/>
      <c r="K70" s="47"/>
    </row>
    <row r="71" spans="2:11" hidden="1" x14ac:dyDescent="0.2">
      <c r="B71" s="47"/>
    </row>
    <row r="72" spans="2:11" hidden="1" x14ac:dyDescent="0.2">
      <c r="B72" s="47"/>
    </row>
    <row r="73" spans="2:11" hidden="1" x14ac:dyDescent="0.2">
      <c r="B73" s="47"/>
    </row>
  </sheetData>
  <sheetProtection formatCells="0" formatColumns="0" formatRows="0" insertHyperlinks="0"/>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52D02-1AE5-46FB-B5CE-3E08B5B523F1}">
  <sheetPr codeName="Tabelle6"/>
  <dimension ref="A2:P99"/>
  <sheetViews>
    <sheetView tabSelected="1" topLeftCell="A16" workbookViewId="0">
      <selection activeCell="G39" sqref="G39"/>
    </sheetView>
  </sheetViews>
  <sheetFormatPr baseColWidth="10" defaultRowHeight="12.75" x14ac:dyDescent="0.2"/>
  <cols>
    <col min="1" max="1" width="24.5703125" customWidth="1"/>
    <col min="2" max="2" width="13.42578125" customWidth="1"/>
    <col min="3" max="3" width="24.28515625" customWidth="1"/>
    <col min="4" max="4" width="15.5703125" customWidth="1"/>
    <col min="14" max="14" width="13.42578125" customWidth="1"/>
  </cols>
  <sheetData>
    <row r="2" spans="1:15" x14ac:dyDescent="0.2">
      <c r="E2" s="485">
        <f>gewJahr</f>
        <v>2021</v>
      </c>
      <c r="I2" s="375" t="s">
        <v>353</v>
      </c>
      <c r="O2" s="222"/>
    </row>
    <row r="3" spans="1:15" ht="25.5" x14ac:dyDescent="0.2">
      <c r="A3" s="582" t="s">
        <v>345</v>
      </c>
      <c r="B3" s="582" t="s">
        <v>346</v>
      </c>
      <c r="C3" s="582"/>
      <c r="D3" s="582" t="s">
        <v>347</v>
      </c>
      <c r="F3" s="478">
        <f>Gehaltsabrechnung!E16</f>
        <v>2163</v>
      </c>
      <c r="G3" s="483" t="s">
        <v>351</v>
      </c>
      <c r="H3" s="484" t="s">
        <v>352</v>
      </c>
      <c r="I3" s="509">
        <f>gebdatum</f>
        <v>22302</v>
      </c>
      <c r="J3" s="509">
        <f ca="1">TODAY()</f>
        <v>44301</v>
      </c>
      <c r="K3" s="510" t="str">
        <f ca="1">DATEDIF(I3,J3,"Y")&amp;" Jahre"</f>
        <v>60 Jahre</v>
      </c>
      <c r="L3" s="509">
        <f>I3</f>
        <v>22302</v>
      </c>
      <c r="M3" s="511">
        <v>64</v>
      </c>
      <c r="N3" s="512">
        <f>DATE(YEAR(L3)+M3,MONTH(L3),DAY(L3))</f>
        <v>45678</v>
      </c>
      <c r="O3" s="510" t="str">
        <f>DATEDIF(L3,N3,"Y")&amp;" Jahre"</f>
        <v>64 Jahre</v>
      </c>
    </row>
    <row r="4" spans="1:15" x14ac:dyDescent="0.2">
      <c r="A4" s="582"/>
      <c r="B4" s="472" t="s">
        <v>348</v>
      </c>
      <c r="C4" s="472" t="s">
        <v>349</v>
      </c>
      <c r="D4" s="582"/>
      <c r="E4" s="478">
        <f>VLOOKUP(E2,A5:D40,4,FALSE)</f>
        <v>342</v>
      </c>
      <c r="F4" s="482">
        <f>VLOOKUP(E2,A5:D40,2,FALSE)</f>
        <v>0.152</v>
      </c>
      <c r="G4" s="478">
        <f>Gehaltsabrechnung!J9</f>
        <v>10</v>
      </c>
      <c r="H4" s="478">
        <f>(F4*12)*G4</f>
        <v>18.239999999999998</v>
      </c>
    </row>
    <row r="5" spans="1:15" x14ac:dyDescent="0.2">
      <c r="A5" s="473" t="s">
        <v>350</v>
      </c>
      <c r="B5" s="474">
        <v>0.4</v>
      </c>
      <c r="C5" s="475">
        <v>3000</v>
      </c>
      <c r="D5" s="475">
        <v>900</v>
      </c>
      <c r="E5" s="477">
        <f t="shared" ref="E5:E19" si="0">SUM(C5:D5)</f>
        <v>3900</v>
      </c>
      <c r="G5" s="420"/>
      <c r="I5" s="375" t="s">
        <v>344</v>
      </c>
    </row>
    <row r="6" spans="1:15" x14ac:dyDescent="0.2">
      <c r="A6" s="473">
        <v>2006</v>
      </c>
      <c r="B6" s="474">
        <v>0.38400000000000001</v>
      </c>
      <c r="C6" s="475">
        <v>2880</v>
      </c>
      <c r="D6" s="475">
        <v>864</v>
      </c>
      <c r="E6" s="477">
        <f t="shared" si="0"/>
        <v>3744</v>
      </c>
      <c r="G6" s="420"/>
      <c r="H6" s="420"/>
      <c r="I6" s="375" t="s">
        <v>356</v>
      </c>
    </row>
    <row r="7" spans="1:15" x14ac:dyDescent="0.2">
      <c r="A7" s="473">
        <v>2007</v>
      </c>
      <c r="B7" s="474">
        <v>0.36799999999999999</v>
      </c>
      <c r="C7" s="475">
        <v>2760</v>
      </c>
      <c r="D7" s="475">
        <v>828</v>
      </c>
      <c r="E7" s="477">
        <f t="shared" si="0"/>
        <v>3588</v>
      </c>
      <c r="G7" s="420"/>
    </row>
    <row r="8" spans="1:15" x14ac:dyDescent="0.2">
      <c r="A8" s="473">
        <v>2008</v>
      </c>
      <c r="B8" s="474">
        <v>0.35199999999999998</v>
      </c>
      <c r="C8" s="475">
        <v>2640</v>
      </c>
      <c r="D8" s="475">
        <v>792</v>
      </c>
      <c r="E8" s="477">
        <f t="shared" si="0"/>
        <v>3432</v>
      </c>
      <c r="I8" s="375" t="s">
        <v>357</v>
      </c>
    </row>
    <row r="9" spans="1:15" x14ac:dyDescent="0.2">
      <c r="A9" s="473">
        <v>2009</v>
      </c>
      <c r="B9" s="474">
        <v>0.33600000000000002</v>
      </c>
      <c r="C9" s="475">
        <v>2520</v>
      </c>
      <c r="D9" s="475">
        <v>756</v>
      </c>
      <c r="E9" s="477">
        <f t="shared" si="0"/>
        <v>3276</v>
      </c>
    </row>
    <row r="10" spans="1:15" x14ac:dyDescent="0.2">
      <c r="A10" s="473">
        <v>2010</v>
      </c>
      <c r="B10" s="474">
        <v>0.32</v>
      </c>
      <c r="C10" s="475">
        <v>2400</v>
      </c>
      <c r="D10" s="475">
        <v>720</v>
      </c>
      <c r="E10" s="477">
        <f t="shared" si="0"/>
        <v>3120</v>
      </c>
    </row>
    <row r="11" spans="1:15" x14ac:dyDescent="0.2">
      <c r="A11" s="473">
        <v>2011</v>
      </c>
      <c r="B11" s="474">
        <v>0.30399999999999999</v>
      </c>
      <c r="C11" s="475">
        <v>2280</v>
      </c>
      <c r="D11" s="475">
        <v>684</v>
      </c>
      <c r="E11" s="477">
        <f t="shared" si="0"/>
        <v>2964</v>
      </c>
      <c r="I11" s="222" t="s">
        <v>382</v>
      </c>
    </row>
    <row r="12" spans="1:15" x14ac:dyDescent="0.2">
      <c r="A12" s="473">
        <v>2012</v>
      </c>
      <c r="B12" s="474">
        <v>0.28799999999999998</v>
      </c>
      <c r="C12" s="475">
        <v>2160</v>
      </c>
      <c r="D12" s="475">
        <v>648</v>
      </c>
      <c r="E12" s="477">
        <f t="shared" si="0"/>
        <v>2808</v>
      </c>
    </row>
    <row r="13" spans="1:15" x14ac:dyDescent="0.2">
      <c r="A13" s="473">
        <v>2013</v>
      </c>
      <c r="B13" s="474">
        <v>0.27200000000000002</v>
      </c>
      <c r="C13" s="475">
        <v>2040</v>
      </c>
      <c r="D13" s="475">
        <v>612</v>
      </c>
      <c r="E13" s="477">
        <f t="shared" si="0"/>
        <v>2652</v>
      </c>
      <c r="I13" s="375" t="s">
        <v>370</v>
      </c>
    </row>
    <row r="14" spans="1:15" x14ac:dyDescent="0.2">
      <c r="A14" s="473">
        <v>2014</v>
      </c>
      <c r="B14" s="474">
        <v>0.25600000000000001</v>
      </c>
      <c r="C14" s="475">
        <v>1920</v>
      </c>
      <c r="D14" s="475">
        <v>576</v>
      </c>
      <c r="E14" s="477">
        <f t="shared" si="0"/>
        <v>2496</v>
      </c>
    </row>
    <row r="15" spans="1:15" x14ac:dyDescent="0.2">
      <c r="A15" s="473">
        <v>2015</v>
      </c>
      <c r="B15" s="474">
        <v>0.24</v>
      </c>
      <c r="C15" s="475">
        <v>1800</v>
      </c>
      <c r="D15" s="475">
        <v>540</v>
      </c>
      <c r="E15" s="477">
        <f t="shared" si="0"/>
        <v>2340</v>
      </c>
      <c r="J15" s="431">
        <f>Gehaltsabrechnung!K7</f>
        <v>0.19</v>
      </c>
    </row>
    <row r="16" spans="1:15" x14ac:dyDescent="0.2">
      <c r="A16" s="473">
        <v>2016</v>
      </c>
      <c r="B16" s="474">
        <v>0.224</v>
      </c>
      <c r="C16" s="475">
        <v>1680</v>
      </c>
      <c r="D16" s="475">
        <v>504</v>
      </c>
      <c r="E16" s="477">
        <f t="shared" si="0"/>
        <v>2184</v>
      </c>
      <c r="J16" s="431">
        <f>Beitragsbemessungsgrenzen!C81</f>
        <v>0.186</v>
      </c>
    </row>
    <row r="17" spans="1:16" x14ac:dyDescent="0.2">
      <c r="A17" s="473">
        <v>2017</v>
      </c>
      <c r="B17" s="474">
        <v>0.20799999999999999</v>
      </c>
      <c r="C17" s="475">
        <v>1560</v>
      </c>
      <c r="D17" s="475">
        <v>468</v>
      </c>
      <c r="E17" s="477">
        <f t="shared" si="0"/>
        <v>2028</v>
      </c>
      <c r="J17" s="222"/>
      <c r="L17" s="222"/>
    </row>
    <row r="18" spans="1:16" x14ac:dyDescent="0.2">
      <c r="A18" s="473">
        <v>2018</v>
      </c>
      <c r="B18" s="474">
        <v>0.192</v>
      </c>
      <c r="C18" s="475">
        <v>1440</v>
      </c>
      <c r="D18" s="475">
        <v>432</v>
      </c>
      <c r="E18" s="477">
        <f t="shared" si="0"/>
        <v>1872</v>
      </c>
    </row>
    <row r="19" spans="1:16" x14ac:dyDescent="0.2">
      <c r="A19" s="473">
        <v>2019</v>
      </c>
      <c r="B19" s="474">
        <v>0.17599999999999999</v>
      </c>
      <c r="C19" s="475">
        <v>1320</v>
      </c>
      <c r="D19" s="475">
        <v>396</v>
      </c>
      <c r="E19" s="477">
        <f t="shared" si="0"/>
        <v>1716</v>
      </c>
      <c r="N19" s="222" t="s">
        <v>379</v>
      </c>
      <c r="O19" s="222" t="s">
        <v>378</v>
      </c>
    </row>
    <row r="20" spans="1:16" x14ac:dyDescent="0.2">
      <c r="A20" s="473">
        <v>2020</v>
      </c>
      <c r="B20" s="474">
        <v>0.16</v>
      </c>
      <c r="C20" s="475">
        <v>1200</v>
      </c>
      <c r="D20" s="475">
        <v>360</v>
      </c>
      <c r="E20" s="477">
        <f>SUM(C20:D20)</f>
        <v>1560</v>
      </c>
      <c r="F20" s="513">
        <f>G4</f>
        <v>10</v>
      </c>
      <c r="G20">
        <v>12</v>
      </c>
      <c r="H20" s="485">
        <f>F20*G20</f>
        <v>120</v>
      </c>
      <c r="I20" s="513">
        <f>H20*B20</f>
        <v>19.2</v>
      </c>
      <c r="J20" s="513">
        <f>D20</f>
        <v>360</v>
      </c>
      <c r="K20" s="513">
        <f>I20+J20</f>
        <v>379.2</v>
      </c>
      <c r="L20" s="513">
        <f>K20-J20</f>
        <v>19.199999999999989</v>
      </c>
      <c r="M20">
        <f>7/12</f>
        <v>0.58333333333333337</v>
      </c>
      <c r="N20" s="513">
        <f>M20*K20</f>
        <v>221.20000000000002</v>
      </c>
      <c r="O20" s="513">
        <f>H20-N20</f>
        <v>-101.20000000000002</v>
      </c>
    </row>
    <row r="21" spans="1:16" x14ac:dyDescent="0.2">
      <c r="A21" s="473">
        <v>2021</v>
      </c>
      <c r="B21" s="476">
        <v>0.152</v>
      </c>
      <c r="C21" s="477">
        <v>1140</v>
      </c>
      <c r="D21" s="477">
        <v>342</v>
      </c>
      <c r="E21" s="477">
        <f>SUM(C21:D21)</f>
        <v>1482</v>
      </c>
      <c r="F21" s="513">
        <f>G4</f>
        <v>10</v>
      </c>
      <c r="G21">
        <v>12</v>
      </c>
      <c r="H21" s="485">
        <f>F21*G21</f>
        <v>120</v>
      </c>
      <c r="I21" s="513">
        <f>H21*$B$21</f>
        <v>18.239999999999998</v>
      </c>
      <c r="J21" s="513">
        <f>D21</f>
        <v>342</v>
      </c>
      <c r="K21" s="513">
        <f>I21+J21</f>
        <v>360.24</v>
      </c>
      <c r="L21" s="513">
        <f>K21-J21</f>
        <v>18.240000000000009</v>
      </c>
      <c r="M21">
        <f>7/12</f>
        <v>0.58333333333333337</v>
      </c>
      <c r="N21" s="513">
        <f>M21*K21</f>
        <v>210.14000000000001</v>
      </c>
      <c r="O21" s="513">
        <f>H21-N21</f>
        <v>-90.140000000000015</v>
      </c>
      <c r="P21" s="420"/>
    </row>
    <row r="22" spans="1:16" x14ac:dyDescent="0.2">
      <c r="A22" s="473">
        <v>2022</v>
      </c>
      <c r="B22" s="474">
        <v>0.14399999999999999</v>
      </c>
      <c r="C22" s="475">
        <v>1080</v>
      </c>
      <c r="D22" s="475">
        <v>324</v>
      </c>
      <c r="E22" s="477">
        <f t="shared" ref="E22:E40" si="1">SUM(C22:D22)</f>
        <v>1404</v>
      </c>
      <c r="F22" s="222"/>
    </row>
    <row r="23" spans="1:16" x14ac:dyDescent="0.2">
      <c r="A23" s="473">
        <v>2023</v>
      </c>
      <c r="B23" s="474">
        <v>0.13600000000000001</v>
      </c>
      <c r="C23" s="475">
        <v>1020</v>
      </c>
      <c r="D23" s="475">
        <v>306</v>
      </c>
      <c r="E23" s="477">
        <f t="shared" si="1"/>
        <v>1326</v>
      </c>
      <c r="F23" s="432">
        <v>100</v>
      </c>
      <c r="H23">
        <f>F23*12</f>
        <v>1200</v>
      </c>
      <c r="I23" s="513">
        <f>H23*$B$21</f>
        <v>182.4</v>
      </c>
      <c r="L23" s="432">
        <v>182.4</v>
      </c>
      <c r="M23" s="222" t="s">
        <v>380</v>
      </c>
      <c r="P23" s="222"/>
    </row>
    <row r="24" spans="1:16" x14ac:dyDescent="0.2">
      <c r="A24" s="473">
        <v>2024</v>
      </c>
      <c r="B24" s="474">
        <v>0.128</v>
      </c>
      <c r="C24" s="475">
        <v>960</v>
      </c>
      <c r="D24" s="475">
        <v>288</v>
      </c>
      <c r="E24" s="477">
        <f t="shared" si="1"/>
        <v>1248</v>
      </c>
      <c r="I24" s="420"/>
      <c r="J24" s="432">
        <v>342</v>
      </c>
      <c r="K24" s="431"/>
      <c r="L24" s="432">
        <v>342</v>
      </c>
      <c r="M24" s="222" t="s">
        <v>375</v>
      </c>
    </row>
    <row r="25" spans="1:16" x14ac:dyDescent="0.2">
      <c r="A25" s="473">
        <v>2025</v>
      </c>
      <c r="B25" s="474">
        <v>0.12</v>
      </c>
      <c r="C25" s="475">
        <v>900</v>
      </c>
      <c r="D25" s="475">
        <v>270</v>
      </c>
      <c r="E25" s="477">
        <f t="shared" si="1"/>
        <v>1170</v>
      </c>
      <c r="H25" s="431">
        <f>Gehaltsabrechnung!K8</f>
        <v>0.81</v>
      </c>
      <c r="I25" s="549">
        <f>H23*H25</f>
        <v>972.00000000000011</v>
      </c>
      <c r="L25" s="420">
        <f>SUM(L23:L24)</f>
        <v>524.4</v>
      </c>
    </row>
    <row r="26" spans="1:16" x14ac:dyDescent="0.2">
      <c r="A26" s="473">
        <v>2026</v>
      </c>
      <c r="B26" s="474">
        <v>0.112</v>
      </c>
      <c r="C26" s="475">
        <v>840</v>
      </c>
      <c r="D26" s="475">
        <v>252</v>
      </c>
      <c r="E26" s="477">
        <f t="shared" si="1"/>
        <v>1092</v>
      </c>
    </row>
    <row r="27" spans="1:16" x14ac:dyDescent="0.2">
      <c r="A27" s="473">
        <v>2027</v>
      </c>
      <c r="B27" s="474">
        <v>0.104</v>
      </c>
      <c r="C27" s="475">
        <v>780</v>
      </c>
      <c r="D27" s="475">
        <v>234</v>
      </c>
      <c r="E27" s="477">
        <f t="shared" si="1"/>
        <v>1014</v>
      </c>
      <c r="F27" s="432">
        <v>50</v>
      </c>
      <c r="H27">
        <f>F27*12</f>
        <v>600</v>
      </c>
      <c r="I27" s="513">
        <f>H27*$B$21</f>
        <v>91.2</v>
      </c>
      <c r="L27" s="432">
        <v>91.2</v>
      </c>
      <c r="M27" s="222" t="s">
        <v>380</v>
      </c>
    </row>
    <row r="28" spans="1:16" x14ac:dyDescent="0.2">
      <c r="A28" s="473">
        <v>2028</v>
      </c>
      <c r="B28" s="474">
        <v>9.6000000000000002E-2</v>
      </c>
      <c r="C28" s="475">
        <v>720</v>
      </c>
      <c r="D28" s="475">
        <v>216</v>
      </c>
      <c r="E28" s="477">
        <f t="shared" si="1"/>
        <v>936</v>
      </c>
      <c r="J28" s="432">
        <v>342</v>
      </c>
      <c r="K28" s="431"/>
      <c r="L28" s="432">
        <v>342</v>
      </c>
      <c r="M28" s="222" t="s">
        <v>375</v>
      </c>
    </row>
    <row r="29" spans="1:16" x14ac:dyDescent="0.2">
      <c r="A29" s="473">
        <v>2029</v>
      </c>
      <c r="B29" s="474">
        <v>8.7999999999999995E-2</v>
      </c>
      <c r="C29" s="475">
        <v>660</v>
      </c>
      <c r="D29" s="475">
        <v>198</v>
      </c>
      <c r="E29" s="477">
        <f t="shared" si="1"/>
        <v>858</v>
      </c>
      <c r="L29" s="420">
        <f>SUM(L27:L28)</f>
        <v>433.2</v>
      </c>
    </row>
    <row r="30" spans="1:16" x14ac:dyDescent="0.2">
      <c r="A30" s="473">
        <v>2030</v>
      </c>
      <c r="B30" s="474">
        <v>0.08</v>
      </c>
      <c r="C30" s="475">
        <v>600</v>
      </c>
      <c r="D30" s="475">
        <v>180</v>
      </c>
      <c r="E30" s="477">
        <f t="shared" si="1"/>
        <v>780</v>
      </c>
    </row>
    <row r="31" spans="1:16" x14ac:dyDescent="0.2">
      <c r="A31" s="473">
        <v>2031</v>
      </c>
      <c r="B31" s="474">
        <v>7.1999999999999995E-2</v>
      </c>
      <c r="C31" s="475">
        <v>540</v>
      </c>
      <c r="D31" s="475">
        <v>162</v>
      </c>
      <c r="E31" s="477">
        <f t="shared" si="1"/>
        <v>702</v>
      </c>
      <c r="F31" s="432">
        <v>10</v>
      </c>
      <c r="H31">
        <f>F31*12</f>
        <v>120</v>
      </c>
      <c r="I31" s="513">
        <f>H31*$B$21</f>
        <v>18.239999999999998</v>
      </c>
      <c r="J31" s="420"/>
      <c r="L31" s="432">
        <v>18.239999999999998</v>
      </c>
      <c r="M31" s="222" t="s">
        <v>380</v>
      </c>
      <c r="P31" s="420"/>
    </row>
    <row r="32" spans="1:16" x14ac:dyDescent="0.2">
      <c r="A32" s="473">
        <v>2032</v>
      </c>
      <c r="B32" s="474">
        <v>6.4000000000000001E-2</v>
      </c>
      <c r="C32" s="475">
        <v>480</v>
      </c>
      <c r="D32" s="475">
        <v>144</v>
      </c>
      <c r="E32" s="477">
        <f t="shared" si="1"/>
        <v>624</v>
      </c>
      <c r="K32" s="222" t="s">
        <v>381</v>
      </c>
      <c r="L32" s="432">
        <v>96.96</v>
      </c>
      <c r="M32" s="222" t="s">
        <v>375</v>
      </c>
      <c r="P32" s="420"/>
    </row>
    <row r="33" spans="1:13" x14ac:dyDescent="0.2">
      <c r="A33" s="473">
        <v>2033</v>
      </c>
      <c r="B33" s="474">
        <v>5.6000000000000001E-2</v>
      </c>
      <c r="C33" s="475">
        <v>420</v>
      </c>
      <c r="D33" s="475">
        <v>126</v>
      </c>
      <c r="E33" s="477">
        <f t="shared" si="1"/>
        <v>546</v>
      </c>
      <c r="H33" s="431"/>
      <c r="I33" s="549"/>
      <c r="J33" s="420"/>
      <c r="L33" s="420">
        <f>SUM(L31:L32)</f>
        <v>115.19999999999999</v>
      </c>
    </row>
    <row r="34" spans="1:13" x14ac:dyDescent="0.2">
      <c r="A34" s="473">
        <v>2034</v>
      </c>
      <c r="B34" s="474">
        <v>4.8000000000000001E-2</v>
      </c>
      <c r="C34" s="475">
        <v>360</v>
      </c>
      <c r="D34" s="475">
        <v>108</v>
      </c>
      <c r="E34" s="477">
        <f t="shared" si="1"/>
        <v>468</v>
      </c>
      <c r="I34" s="420"/>
      <c r="J34" s="431"/>
    </row>
    <row r="35" spans="1:13" x14ac:dyDescent="0.2">
      <c r="A35" s="473">
        <v>2035</v>
      </c>
      <c r="B35" s="474">
        <v>0.04</v>
      </c>
      <c r="C35" s="475">
        <v>300</v>
      </c>
      <c r="D35" s="475">
        <v>90</v>
      </c>
      <c r="E35" s="477">
        <f t="shared" si="1"/>
        <v>390</v>
      </c>
      <c r="F35" s="432">
        <v>2.75</v>
      </c>
      <c r="H35">
        <f>F35*12</f>
        <v>33</v>
      </c>
      <c r="I35" s="513">
        <f>H35*$B$21</f>
        <v>5.016</v>
      </c>
      <c r="L35" s="432">
        <v>5.0199999999999996</v>
      </c>
      <c r="M35" s="222" t="s">
        <v>380</v>
      </c>
    </row>
    <row r="36" spans="1:13" x14ac:dyDescent="0.2">
      <c r="A36" s="473">
        <v>2036</v>
      </c>
      <c r="B36" s="474">
        <v>3.2000000000000001E-2</v>
      </c>
      <c r="C36" s="475">
        <v>240</v>
      </c>
      <c r="D36" s="475">
        <v>72</v>
      </c>
      <c r="E36" s="477">
        <f t="shared" si="1"/>
        <v>312</v>
      </c>
      <c r="K36" s="222" t="s">
        <v>381</v>
      </c>
      <c r="L36" s="432">
        <v>26.66</v>
      </c>
      <c r="M36" s="222" t="s">
        <v>375</v>
      </c>
    </row>
    <row r="37" spans="1:13" x14ac:dyDescent="0.2">
      <c r="A37" s="473">
        <v>2037</v>
      </c>
      <c r="B37" s="474">
        <v>2.4E-2</v>
      </c>
      <c r="C37" s="475">
        <v>180</v>
      </c>
      <c r="D37" s="475">
        <v>54</v>
      </c>
      <c r="E37" s="477">
        <f t="shared" si="1"/>
        <v>234</v>
      </c>
      <c r="H37" s="431"/>
      <c r="I37" s="549"/>
      <c r="L37" s="420">
        <f>SUM(L35:L36)</f>
        <v>31.68</v>
      </c>
    </row>
    <row r="38" spans="1:13" x14ac:dyDescent="0.2">
      <c r="A38" s="473">
        <v>2038</v>
      </c>
      <c r="B38" s="474">
        <v>1.6E-2</v>
      </c>
      <c r="C38" s="475">
        <v>120</v>
      </c>
      <c r="D38" s="475">
        <v>36</v>
      </c>
      <c r="E38" s="477">
        <f t="shared" si="1"/>
        <v>156</v>
      </c>
      <c r="I38" s="420"/>
      <c r="J38" s="431"/>
    </row>
    <row r="39" spans="1:13" x14ac:dyDescent="0.2">
      <c r="A39" s="473">
        <v>2039</v>
      </c>
      <c r="B39" s="474">
        <v>8.0000000000000002E-3</v>
      </c>
      <c r="C39" s="475">
        <v>60</v>
      </c>
      <c r="D39" s="475">
        <v>18</v>
      </c>
      <c r="E39" s="477">
        <f t="shared" si="1"/>
        <v>78</v>
      </c>
    </row>
    <row r="40" spans="1:13" x14ac:dyDescent="0.2">
      <c r="A40" s="473">
        <v>2040</v>
      </c>
      <c r="B40" s="474">
        <v>0</v>
      </c>
      <c r="C40" s="475">
        <v>0</v>
      </c>
      <c r="D40" s="475">
        <v>0</v>
      </c>
      <c r="E40" s="477">
        <f t="shared" si="1"/>
        <v>0</v>
      </c>
      <c r="I40" s="375" t="s">
        <v>370</v>
      </c>
    </row>
    <row r="45" spans="1:13" x14ac:dyDescent="0.2">
      <c r="G45" s="432">
        <v>450</v>
      </c>
      <c r="H45" s="485">
        <v>12</v>
      </c>
      <c r="I45" s="485">
        <f>G45*H45</f>
        <v>5400</v>
      </c>
      <c r="J45" s="430">
        <v>0.16</v>
      </c>
      <c r="K45" s="513">
        <f>I45*J45</f>
        <v>864</v>
      </c>
    </row>
    <row r="46" spans="1:13" x14ac:dyDescent="0.2">
      <c r="G46" s="432">
        <v>450</v>
      </c>
      <c r="H46" s="485">
        <v>12</v>
      </c>
      <c r="I46" s="485">
        <f>G46*H46</f>
        <v>5400</v>
      </c>
      <c r="J46" s="430">
        <v>0.152</v>
      </c>
      <c r="K46" s="513">
        <f>I46*J46</f>
        <v>820.8</v>
      </c>
    </row>
    <row r="47" spans="1:13" x14ac:dyDescent="0.2">
      <c r="G47" s="432">
        <v>450</v>
      </c>
      <c r="H47" s="485">
        <v>12</v>
      </c>
      <c r="I47" s="485">
        <f>G47*H47</f>
        <v>5400</v>
      </c>
      <c r="J47" s="430">
        <v>0.14399999999999999</v>
      </c>
      <c r="K47" s="513">
        <f>I47*J47</f>
        <v>777.59999999999991</v>
      </c>
    </row>
    <row r="99" spans="10:10" x14ac:dyDescent="0.2">
      <c r="J99" s="222" t="s">
        <v>358</v>
      </c>
    </row>
  </sheetData>
  <mergeCells count="3">
    <mergeCell ref="A3:A4"/>
    <mergeCell ref="B3:C3"/>
    <mergeCell ref="D3:D4"/>
  </mergeCells>
  <conditionalFormatting sqref="A6:A40 B21:D21">
    <cfRule type="expression" dxfId="1" priority="12">
      <formula>$A6=$E$2</formula>
    </cfRule>
  </conditionalFormatting>
  <conditionalFormatting sqref="E5:E40">
    <cfRule type="expression" dxfId="0" priority="1">
      <formula>$A5=$E$2</formula>
    </cfRule>
  </conditionalFormatting>
  <hyperlinks>
    <hyperlink ref="I5" r:id="rId1" xr:uid="{761392AD-313E-48A2-897F-CDA5D2E0C5A0}"/>
    <hyperlink ref="I2" r:id="rId2" xr:uid="{DE97583C-AA7F-462C-80F4-F2791438BC3E}"/>
    <hyperlink ref="I6" r:id="rId3" location="docid:9704547:frg_k-10849" xr:uid="{7E73E57B-487A-4A05-9046-FAD1AEDECE57}"/>
    <hyperlink ref="I8" r:id="rId4" xr:uid="{6AED9D45-DF45-4494-A2AE-3E90FAEF96CD}"/>
    <hyperlink ref="I13" r:id="rId5" xr:uid="{63D2369C-48C8-447F-9302-9D1ABFB79168}"/>
    <hyperlink ref="I40" r:id="rId6" xr:uid="{59D3C8DB-1F76-45A7-BB1D-48A9B0E17075}"/>
  </hyperlinks>
  <pageMargins left="0.7" right="0.7" top="0.78740157499999996" bottom="0.78740157499999996" header="0.3" footer="0.3"/>
  <pageSetup paperSize="9"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049E-45CC-43F3-AE48-067F37C82212}">
  <sheetPr codeName="Tabelle7"/>
  <dimension ref="A1"/>
  <sheetViews>
    <sheetView workbookViewId="0">
      <selection activeCell="I36" sqref="I36"/>
    </sheetView>
  </sheetViews>
  <sheetFormatPr baseColWidth="10" defaultRowHeight="12.75" x14ac:dyDescent="0.2"/>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4016-1200-4B05-9B90-F94094A67EC6}">
  <sheetPr codeName="Tabelle5"/>
  <dimension ref="A1:V107"/>
  <sheetViews>
    <sheetView workbookViewId="0">
      <selection activeCell="E112" sqref="E112"/>
    </sheetView>
  </sheetViews>
  <sheetFormatPr baseColWidth="10" defaultRowHeight="12.75" x14ac:dyDescent="0.2"/>
  <cols>
    <col min="1" max="1" width="43" customWidth="1"/>
    <col min="2" max="2" width="17" customWidth="1"/>
    <col min="3" max="3" width="37.85546875" customWidth="1"/>
    <col min="4" max="4" width="31.7109375" bestFit="1" customWidth="1"/>
    <col min="5" max="5" width="17.7109375" bestFit="1" customWidth="1"/>
    <col min="6" max="6" width="31.5703125" bestFit="1" customWidth="1"/>
    <col min="7" max="7" width="12.5703125" bestFit="1" customWidth="1"/>
    <col min="90" max="90" width="0" hidden="1" customWidth="1"/>
    <col min="225" max="226" width="0" hidden="1" customWidth="1"/>
  </cols>
  <sheetData>
    <row r="1" spans="1:7" ht="21" x14ac:dyDescent="0.2">
      <c r="A1" s="376" t="s">
        <v>218</v>
      </c>
      <c r="B1" s="377" t="s">
        <v>219</v>
      </c>
      <c r="C1" s="583" t="str">
        <f ca="1">RIGHT(CELL("Dateiname",AA50),LEN(CELL("Dateiname",AA48))-FIND("]",CELL("dateiname",AA49),1))</f>
        <v>Beitragsbemessungsgrenzen</v>
      </c>
      <c r="D1" s="583"/>
      <c r="E1" s="583"/>
      <c r="F1" s="583"/>
      <c r="G1" s="583"/>
    </row>
    <row r="2" spans="1:7" x14ac:dyDescent="0.2">
      <c r="G2" s="229" t="s">
        <v>220</v>
      </c>
    </row>
    <row r="3" spans="1:7" x14ac:dyDescent="0.2">
      <c r="A3" s="378" t="s">
        <v>221</v>
      </c>
      <c r="B3" s="378" t="s">
        <v>222</v>
      </c>
      <c r="C3" s="379"/>
      <c r="D3" s="379"/>
      <c r="E3" s="378" t="s">
        <v>223</v>
      </c>
      <c r="F3" s="378" t="s">
        <v>224</v>
      </c>
      <c r="G3" s="379"/>
    </row>
    <row r="4" spans="1:7" ht="20.25" thickBot="1" x14ac:dyDescent="0.25">
      <c r="A4" s="584"/>
      <c r="B4" s="584"/>
      <c r="E4" s="380" t="s">
        <v>225</v>
      </c>
      <c r="F4" s="381" t="s">
        <v>226</v>
      </c>
      <c r="G4" s="382" t="s">
        <v>227</v>
      </c>
    </row>
    <row r="5" spans="1:7" ht="21" x14ac:dyDescent="0.2">
      <c r="A5" s="383">
        <v>16588</v>
      </c>
      <c r="B5" s="383">
        <v>17775</v>
      </c>
      <c r="C5" s="384">
        <v>0.1</v>
      </c>
      <c r="D5" s="385" t="s">
        <v>228</v>
      </c>
      <c r="E5" s="386">
        <v>0.05</v>
      </c>
      <c r="F5" s="387" t="s">
        <v>229</v>
      </c>
      <c r="G5" s="388" t="s">
        <v>230</v>
      </c>
    </row>
    <row r="6" spans="1:7" ht="21" x14ac:dyDescent="0.2">
      <c r="A6" s="383">
        <v>17776</v>
      </c>
      <c r="B6" s="383">
        <v>18717</v>
      </c>
      <c r="C6" s="384">
        <v>0.1</v>
      </c>
      <c r="D6" s="385" t="s">
        <v>231</v>
      </c>
      <c r="E6" s="386">
        <v>0.05</v>
      </c>
      <c r="F6" s="389" t="s">
        <v>232</v>
      </c>
      <c r="G6" s="388" t="s">
        <v>233</v>
      </c>
    </row>
    <row r="7" spans="1:7" ht="21.75" thickBot="1" x14ac:dyDescent="0.25">
      <c r="A7" s="383">
        <v>18718</v>
      </c>
      <c r="B7" s="383">
        <v>19417</v>
      </c>
      <c r="C7" s="384">
        <v>0.11</v>
      </c>
      <c r="D7" s="390" t="s">
        <v>234</v>
      </c>
      <c r="E7" s="391">
        <v>5.5E-2</v>
      </c>
      <c r="F7" s="392" t="s">
        <v>232</v>
      </c>
      <c r="G7" s="393" t="s">
        <v>233</v>
      </c>
    </row>
    <row r="8" spans="1:7" ht="21.75" thickTop="1" x14ac:dyDescent="0.2">
      <c r="A8" s="383">
        <v>19418</v>
      </c>
      <c r="B8" s="383">
        <v>19723</v>
      </c>
      <c r="C8" s="384">
        <v>0.14000000000000001</v>
      </c>
      <c r="D8" s="385" t="s">
        <v>235</v>
      </c>
      <c r="E8" s="386">
        <v>7.0000000000000007E-2</v>
      </c>
      <c r="F8" s="389" t="s">
        <v>236</v>
      </c>
      <c r="G8" s="388" t="s">
        <v>233</v>
      </c>
    </row>
    <row r="9" spans="1:7" ht="21" x14ac:dyDescent="0.2">
      <c r="A9" s="383">
        <v>19724</v>
      </c>
      <c r="B9" s="394">
        <f t="shared" ref="B9:B33" si="0">DATE(YEAR(A9)+1,MONTH(A9),DAY(A9)-1)</f>
        <v>20088</v>
      </c>
      <c r="C9" s="384">
        <v>0.14000000000000001</v>
      </c>
      <c r="D9" s="395">
        <v>1958</v>
      </c>
      <c r="E9" s="386">
        <v>7.0000000000000007E-2</v>
      </c>
      <c r="F9" s="389" t="s">
        <v>236</v>
      </c>
      <c r="G9" s="388" t="s">
        <v>233</v>
      </c>
    </row>
    <row r="10" spans="1:7" ht="21.75" thickBot="1" x14ac:dyDescent="0.25">
      <c r="A10" s="394">
        <f>DATE(YEAR(B9),MONTH(B9),DAY(B9)+1)</f>
        <v>20089</v>
      </c>
      <c r="B10" s="394">
        <f t="shared" si="0"/>
        <v>20453</v>
      </c>
      <c r="C10" s="384">
        <v>0.14000000000000001</v>
      </c>
      <c r="D10" s="396">
        <v>1959</v>
      </c>
      <c r="E10" s="391">
        <v>7.0000000000000007E-2</v>
      </c>
      <c r="F10" s="392" t="s">
        <v>237</v>
      </c>
      <c r="G10" s="393" t="s">
        <v>238</v>
      </c>
    </row>
    <row r="11" spans="1:7" ht="21.75" thickTop="1" x14ac:dyDescent="0.2">
      <c r="A11" s="394">
        <f t="shared" ref="A11:A52" si="1">DATE(YEAR(B10),MONTH(B10),DAY(B10)+1)</f>
        <v>20454</v>
      </c>
      <c r="B11" s="394">
        <f t="shared" si="0"/>
        <v>20819</v>
      </c>
      <c r="C11" s="384">
        <v>0.14000000000000001</v>
      </c>
      <c r="D11" s="395">
        <v>1960</v>
      </c>
      <c r="E11" s="386">
        <v>7.0000000000000007E-2</v>
      </c>
      <c r="F11" s="387" t="s">
        <v>239</v>
      </c>
      <c r="G11" s="388" t="s">
        <v>240</v>
      </c>
    </row>
    <row r="12" spans="1:7" ht="21" x14ac:dyDescent="0.2">
      <c r="A12" s="394">
        <f t="shared" si="1"/>
        <v>20820</v>
      </c>
      <c r="B12" s="394">
        <f t="shared" si="0"/>
        <v>21184</v>
      </c>
      <c r="C12" s="384">
        <v>0.14000000000000001</v>
      </c>
      <c r="D12" s="395">
        <v>1961</v>
      </c>
      <c r="E12" s="386">
        <v>7.0000000000000007E-2</v>
      </c>
      <c r="F12" s="387" t="s">
        <v>241</v>
      </c>
      <c r="G12" s="388" t="s">
        <v>242</v>
      </c>
    </row>
    <row r="13" spans="1:7" ht="21.75" thickBot="1" x14ac:dyDescent="0.25">
      <c r="A13" s="394">
        <f t="shared" si="1"/>
        <v>21185</v>
      </c>
      <c r="B13" s="394">
        <f t="shared" si="0"/>
        <v>21549</v>
      </c>
      <c r="C13" s="384">
        <v>0.14000000000000001</v>
      </c>
      <c r="D13" s="396">
        <v>1962</v>
      </c>
      <c r="E13" s="391">
        <v>7.0000000000000007E-2</v>
      </c>
      <c r="F13" s="397" t="s">
        <v>243</v>
      </c>
      <c r="G13" s="393" t="s">
        <v>244</v>
      </c>
    </row>
    <row r="14" spans="1:7" ht="21.75" thickTop="1" x14ac:dyDescent="0.2">
      <c r="A14" s="394">
        <f t="shared" si="1"/>
        <v>21550</v>
      </c>
      <c r="B14" s="394">
        <f t="shared" si="0"/>
        <v>21914</v>
      </c>
      <c r="C14" s="384">
        <v>0.14000000000000001</v>
      </c>
      <c r="D14" s="395">
        <v>1963</v>
      </c>
      <c r="E14" s="386">
        <v>7.0000000000000007E-2</v>
      </c>
      <c r="F14" s="387" t="s">
        <v>245</v>
      </c>
      <c r="G14" s="387" t="s">
        <v>246</v>
      </c>
    </row>
    <row r="15" spans="1:7" x14ac:dyDescent="0.2">
      <c r="A15" s="394">
        <f t="shared" si="1"/>
        <v>21915</v>
      </c>
      <c r="B15" s="394">
        <f t="shared" si="0"/>
        <v>22280</v>
      </c>
      <c r="C15" s="384">
        <v>0.14000000000000001</v>
      </c>
      <c r="D15" s="395">
        <v>1964</v>
      </c>
      <c r="E15" s="386">
        <v>7.0000000000000007E-2</v>
      </c>
      <c r="F15" s="387" t="s">
        <v>247</v>
      </c>
      <c r="G15" s="387" t="s">
        <v>248</v>
      </c>
    </row>
    <row r="16" spans="1:7" ht="21.75" thickBot="1" x14ac:dyDescent="0.25">
      <c r="A16" s="394">
        <f t="shared" si="1"/>
        <v>22281</v>
      </c>
      <c r="B16" s="394">
        <f t="shared" si="0"/>
        <v>22645</v>
      </c>
      <c r="C16" s="384">
        <v>0.14000000000000001</v>
      </c>
      <c r="D16" s="398">
        <v>1965</v>
      </c>
      <c r="E16" s="399">
        <v>7.0000000000000007E-2</v>
      </c>
      <c r="F16" s="400" t="s">
        <v>249</v>
      </c>
      <c r="G16" s="401" t="s">
        <v>250</v>
      </c>
    </row>
    <row r="17" spans="1:7" ht="21" x14ac:dyDescent="0.2">
      <c r="A17" s="394">
        <f t="shared" si="1"/>
        <v>22646</v>
      </c>
      <c r="B17" s="394">
        <f t="shared" si="0"/>
        <v>23010</v>
      </c>
      <c r="C17" s="384">
        <v>0.14000000000000001</v>
      </c>
      <c r="D17" s="395">
        <v>1966</v>
      </c>
      <c r="E17" s="386">
        <v>7.0000000000000007E-2</v>
      </c>
      <c r="F17" s="387" t="s">
        <v>251</v>
      </c>
      <c r="G17" s="387" t="s">
        <v>252</v>
      </c>
    </row>
    <row r="18" spans="1:7" ht="21" x14ac:dyDescent="0.2">
      <c r="A18" s="394">
        <f t="shared" si="1"/>
        <v>23011</v>
      </c>
      <c r="B18" s="394">
        <f t="shared" si="0"/>
        <v>23375</v>
      </c>
      <c r="C18" s="384">
        <v>0.14000000000000001</v>
      </c>
      <c r="D18" s="395">
        <v>1967</v>
      </c>
      <c r="E18" s="386">
        <v>7.0000000000000007E-2</v>
      </c>
      <c r="F18" s="387" t="s">
        <v>253</v>
      </c>
      <c r="G18" s="387" t="s">
        <v>254</v>
      </c>
    </row>
    <row r="19" spans="1:7" ht="21.75" thickBot="1" x14ac:dyDescent="0.25">
      <c r="A19" s="394">
        <f t="shared" si="1"/>
        <v>23376</v>
      </c>
      <c r="B19" s="394">
        <f t="shared" si="0"/>
        <v>23741</v>
      </c>
      <c r="C19" s="384">
        <v>0.15</v>
      </c>
      <c r="D19" s="398">
        <v>1968</v>
      </c>
      <c r="E19" s="399">
        <v>7.4999999999999997E-2</v>
      </c>
      <c r="F19" s="400" t="s">
        <v>255</v>
      </c>
      <c r="G19" s="402" t="s">
        <v>256</v>
      </c>
    </row>
    <row r="20" spans="1:7" ht="21" x14ac:dyDescent="0.2">
      <c r="A20" s="394">
        <f t="shared" si="1"/>
        <v>23742</v>
      </c>
      <c r="B20" s="394">
        <f t="shared" si="0"/>
        <v>24106</v>
      </c>
      <c r="C20" s="384">
        <v>0.16</v>
      </c>
      <c r="D20" s="395">
        <v>1969</v>
      </c>
      <c r="E20" s="386">
        <v>0.08</v>
      </c>
      <c r="F20" s="387" t="s">
        <v>257</v>
      </c>
      <c r="G20" s="387" t="s">
        <v>258</v>
      </c>
    </row>
    <row r="21" spans="1:7" ht="21" x14ac:dyDescent="0.2">
      <c r="A21" s="394">
        <f t="shared" si="1"/>
        <v>24107</v>
      </c>
      <c r="B21" s="394">
        <f t="shared" si="0"/>
        <v>24471</v>
      </c>
      <c r="C21" s="384">
        <v>0.17</v>
      </c>
      <c r="D21" s="395">
        <v>1970</v>
      </c>
      <c r="E21" s="386">
        <v>8.5000000000000006E-2</v>
      </c>
      <c r="F21" s="387" t="s">
        <v>259</v>
      </c>
      <c r="G21" s="387" t="s">
        <v>260</v>
      </c>
    </row>
    <row r="22" spans="1:7" ht="21.75" thickBot="1" x14ac:dyDescent="0.25">
      <c r="A22" s="394">
        <f t="shared" si="1"/>
        <v>24472</v>
      </c>
      <c r="B22" s="394">
        <f t="shared" si="0"/>
        <v>24836</v>
      </c>
      <c r="C22" s="384">
        <v>0.17</v>
      </c>
      <c r="D22" s="396">
        <v>1971</v>
      </c>
      <c r="E22" s="391">
        <v>8.5000000000000006E-2</v>
      </c>
      <c r="F22" s="397" t="s">
        <v>261</v>
      </c>
      <c r="G22" s="397" t="s">
        <v>262</v>
      </c>
    </row>
    <row r="23" spans="1:7" ht="21.75" thickTop="1" x14ac:dyDescent="0.2">
      <c r="A23" s="394">
        <f t="shared" si="1"/>
        <v>24837</v>
      </c>
      <c r="B23" s="394">
        <f t="shared" si="0"/>
        <v>25202</v>
      </c>
      <c r="C23" s="384">
        <v>0.17</v>
      </c>
      <c r="D23" s="395">
        <v>1972</v>
      </c>
      <c r="E23" s="386">
        <v>8.5000000000000006E-2</v>
      </c>
      <c r="F23" s="387" t="s">
        <v>263</v>
      </c>
      <c r="G23" s="387" t="s">
        <v>264</v>
      </c>
    </row>
    <row r="24" spans="1:7" ht="21" x14ac:dyDescent="0.2">
      <c r="A24" s="394">
        <f t="shared" si="1"/>
        <v>25203</v>
      </c>
      <c r="B24" s="394">
        <f t="shared" si="0"/>
        <v>25567</v>
      </c>
      <c r="C24" s="384">
        <v>0.18</v>
      </c>
      <c r="D24" s="395">
        <v>1973</v>
      </c>
      <c r="E24" s="403">
        <v>0.09</v>
      </c>
      <c r="F24" s="387" t="s">
        <v>265</v>
      </c>
      <c r="G24" s="387" t="s">
        <v>266</v>
      </c>
    </row>
    <row r="25" spans="1:7" ht="21.75" thickBot="1" x14ac:dyDescent="0.25">
      <c r="A25" s="394">
        <f t="shared" si="1"/>
        <v>25568</v>
      </c>
      <c r="B25" s="394">
        <f t="shared" si="0"/>
        <v>25932</v>
      </c>
      <c r="C25" s="384">
        <v>0.18</v>
      </c>
      <c r="D25" s="396">
        <v>1974</v>
      </c>
      <c r="E25" s="391">
        <v>0.09</v>
      </c>
      <c r="F25" s="397" t="s">
        <v>267</v>
      </c>
      <c r="G25" s="397" t="s">
        <v>268</v>
      </c>
    </row>
    <row r="26" spans="1:7" ht="21.75" thickTop="1" x14ac:dyDescent="0.2">
      <c r="A26" s="394">
        <f t="shared" si="1"/>
        <v>25933</v>
      </c>
      <c r="B26" s="394">
        <f t="shared" si="0"/>
        <v>26297</v>
      </c>
      <c r="C26" s="384">
        <v>0.18</v>
      </c>
      <c r="D26" s="395">
        <v>1975</v>
      </c>
      <c r="E26" s="386">
        <v>0.09</v>
      </c>
      <c r="F26" s="387" t="s">
        <v>269</v>
      </c>
      <c r="G26" s="387" t="s">
        <v>270</v>
      </c>
    </row>
    <row r="27" spans="1:7" ht="21" x14ac:dyDescent="0.2">
      <c r="A27" s="394">
        <f t="shared" si="1"/>
        <v>26298</v>
      </c>
      <c r="B27" s="394">
        <f t="shared" si="0"/>
        <v>26663</v>
      </c>
      <c r="C27" s="384">
        <v>0.18</v>
      </c>
      <c r="D27" s="395">
        <v>1976</v>
      </c>
      <c r="E27" s="386">
        <v>0.09</v>
      </c>
      <c r="F27" s="387" t="s">
        <v>271</v>
      </c>
      <c r="G27" s="387" t="s">
        <v>272</v>
      </c>
    </row>
    <row r="28" spans="1:7" ht="21.75" thickBot="1" x14ac:dyDescent="0.25">
      <c r="A28" s="394">
        <f t="shared" si="1"/>
        <v>26664</v>
      </c>
      <c r="B28" s="394">
        <f t="shared" si="0"/>
        <v>27028</v>
      </c>
      <c r="C28" s="384">
        <v>0.18</v>
      </c>
      <c r="D28" s="398">
        <v>1977</v>
      </c>
      <c r="E28" s="399">
        <v>0.09</v>
      </c>
      <c r="F28" s="400" t="s">
        <v>273</v>
      </c>
      <c r="G28" s="400" t="s">
        <v>274</v>
      </c>
    </row>
    <row r="29" spans="1:7" ht="21" x14ac:dyDescent="0.2">
      <c r="A29" s="394">
        <f t="shared" si="1"/>
        <v>27029</v>
      </c>
      <c r="B29" s="394">
        <f t="shared" si="0"/>
        <v>27393</v>
      </c>
      <c r="C29" s="384">
        <v>0.18</v>
      </c>
      <c r="D29" s="395">
        <v>1978</v>
      </c>
      <c r="E29" s="386">
        <v>0.09</v>
      </c>
      <c r="F29" s="387" t="s">
        <v>275</v>
      </c>
      <c r="G29" s="387" t="s">
        <v>276</v>
      </c>
    </row>
    <row r="30" spans="1:7" ht="21" x14ac:dyDescent="0.2">
      <c r="A30" s="394">
        <f t="shared" si="1"/>
        <v>27394</v>
      </c>
      <c r="B30" s="394">
        <f t="shared" si="0"/>
        <v>27758</v>
      </c>
      <c r="C30" s="384">
        <v>0.18</v>
      </c>
      <c r="D30" s="395">
        <v>1979</v>
      </c>
      <c r="E30" s="386">
        <v>0.09</v>
      </c>
      <c r="F30" s="387" t="s">
        <v>277</v>
      </c>
      <c r="G30" s="387" t="s">
        <v>278</v>
      </c>
    </row>
    <row r="31" spans="1:7" ht="21.75" thickBot="1" x14ac:dyDescent="0.25">
      <c r="A31" s="394">
        <f t="shared" si="1"/>
        <v>27759</v>
      </c>
      <c r="B31" s="394">
        <f t="shared" si="0"/>
        <v>28124</v>
      </c>
      <c r="C31" s="384">
        <v>0.18</v>
      </c>
      <c r="D31" s="398">
        <v>1980</v>
      </c>
      <c r="E31" s="404">
        <v>0.09</v>
      </c>
      <c r="F31" s="400" t="s">
        <v>279</v>
      </c>
      <c r="G31" s="405" t="s">
        <v>280</v>
      </c>
    </row>
    <row r="32" spans="1:7" ht="21" x14ac:dyDescent="0.2">
      <c r="A32" s="394">
        <f t="shared" si="1"/>
        <v>28125</v>
      </c>
      <c r="B32" s="394">
        <f t="shared" si="0"/>
        <v>28489</v>
      </c>
      <c r="C32" s="384">
        <v>0.185</v>
      </c>
      <c r="D32" s="395">
        <v>1981</v>
      </c>
      <c r="E32" s="386">
        <v>9.2499999999999999E-2</v>
      </c>
      <c r="F32" s="387" t="s">
        <v>281</v>
      </c>
      <c r="G32" s="387" t="s">
        <v>282</v>
      </c>
    </row>
    <row r="33" spans="1:7" ht="21" x14ac:dyDescent="0.2">
      <c r="A33" s="394">
        <f t="shared" si="1"/>
        <v>28490</v>
      </c>
      <c r="B33" s="394">
        <f t="shared" si="0"/>
        <v>28854</v>
      </c>
      <c r="C33" s="384">
        <v>0.18</v>
      </c>
      <c r="D33" s="395">
        <v>1982</v>
      </c>
      <c r="E33" s="386">
        <v>0.09</v>
      </c>
      <c r="F33" s="387" t="s">
        <v>283</v>
      </c>
      <c r="G33" s="387" t="s">
        <v>284</v>
      </c>
    </row>
    <row r="34" spans="1:7" ht="21.75" thickBot="1" x14ac:dyDescent="0.25">
      <c r="A34" s="394">
        <f t="shared" si="1"/>
        <v>28855</v>
      </c>
      <c r="B34" s="406">
        <v>29097</v>
      </c>
      <c r="C34" s="384">
        <v>0.18</v>
      </c>
      <c r="D34" s="390" t="s">
        <v>285</v>
      </c>
      <c r="E34" s="391">
        <v>0.09</v>
      </c>
      <c r="F34" s="397" t="s">
        <v>286</v>
      </c>
      <c r="G34" s="397" t="s">
        <v>287</v>
      </c>
    </row>
    <row r="35" spans="1:7" ht="13.5" thickTop="1" x14ac:dyDescent="0.2">
      <c r="A35" s="406">
        <v>29098</v>
      </c>
      <c r="B35" s="406">
        <v>29219</v>
      </c>
      <c r="C35" s="384">
        <v>0.185</v>
      </c>
      <c r="D35" s="385" t="s">
        <v>288</v>
      </c>
      <c r="E35" s="386">
        <v>9.2499999999999999E-2</v>
      </c>
      <c r="F35" s="407"/>
      <c r="G35" s="407"/>
    </row>
    <row r="36" spans="1:7" ht="21" x14ac:dyDescent="0.2">
      <c r="A36" s="394">
        <f>DATE(YEAR(B35),MONTH(B35),DAY(B35)+1)</f>
        <v>29220</v>
      </c>
      <c r="B36" s="394">
        <f>DATE(YEAR(A36)+1,MONTH(A36),DAY(A36)-1)</f>
        <v>29585</v>
      </c>
      <c r="C36" s="384">
        <v>0.185</v>
      </c>
      <c r="D36" s="395">
        <v>1984</v>
      </c>
      <c r="E36" s="403">
        <v>9.2499999999999999E-2</v>
      </c>
      <c r="F36" s="387" t="s">
        <v>289</v>
      </c>
      <c r="G36" s="387" t="s">
        <v>290</v>
      </c>
    </row>
    <row r="37" spans="1:7" ht="21.75" thickBot="1" x14ac:dyDescent="0.25">
      <c r="A37" s="394">
        <f t="shared" si="1"/>
        <v>29586</v>
      </c>
      <c r="B37" s="406">
        <v>29736</v>
      </c>
      <c r="C37" s="384">
        <v>0.187</v>
      </c>
      <c r="D37" s="390" t="s">
        <v>291</v>
      </c>
      <c r="E37" s="391">
        <v>9.35E-2</v>
      </c>
      <c r="F37" s="397" t="s">
        <v>292</v>
      </c>
      <c r="G37" s="397" t="s">
        <v>293</v>
      </c>
    </row>
    <row r="38" spans="1:7" ht="13.5" thickTop="1" x14ac:dyDescent="0.2">
      <c r="A38" s="406">
        <f t="shared" si="1"/>
        <v>29737</v>
      </c>
      <c r="B38" s="406">
        <v>29950</v>
      </c>
      <c r="C38" s="384">
        <v>0.192</v>
      </c>
      <c r="D38" s="385" t="s">
        <v>294</v>
      </c>
      <c r="E38" s="386">
        <v>9.6000000000000002E-2</v>
      </c>
      <c r="F38" s="407"/>
      <c r="G38" s="407"/>
    </row>
    <row r="39" spans="1:7" ht="21" x14ac:dyDescent="0.2">
      <c r="A39" s="394">
        <f t="shared" si="1"/>
        <v>29951</v>
      </c>
      <c r="B39" s="394">
        <f>DATE(YEAR(A39)+1,MONTH(A39),DAY(A39)-1)</f>
        <v>30315</v>
      </c>
      <c r="C39" s="384">
        <v>0.192</v>
      </c>
      <c r="D39" s="395">
        <v>1986</v>
      </c>
      <c r="E39" s="386">
        <v>9.6000000000000002E-2</v>
      </c>
      <c r="F39" s="387" t="s">
        <v>295</v>
      </c>
      <c r="G39" s="387" t="s">
        <v>296</v>
      </c>
    </row>
    <row r="40" spans="1:7" ht="21.75" thickBot="1" x14ac:dyDescent="0.25">
      <c r="A40" s="394">
        <f t="shared" si="1"/>
        <v>30316</v>
      </c>
      <c r="B40" s="394">
        <f>DATE(YEAR(A40)+1,MONTH(A40),DAY(A40)-1)</f>
        <v>30680</v>
      </c>
      <c r="C40" s="384">
        <v>0.187</v>
      </c>
      <c r="D40" s="398">
        <v>1987</v>
      </c>
      <c r="E40" s="404">
        <v>9.35E-2</v>
      </c>
      <c r="F40" s="400" t="s">
        <v>297</v>
      </c>
      <c r="G40" s="400" t="s">
        <v>298</v>
      </c>
    </row>
    <row r="41" spans="1:7" ht="21" x14ac:dyDescent="0.2">
      <c r="A41" s="394">
        <f t="shared" si="1"/>
        <v>30681</v>
      </c>
      <c r="B41" s="394">
        <f>DATE(YEAR(A41)+1,MONTH(A41),DAY(A41)-1)</f>
        <v>31046</v>
      </c>
      <c r="C41" s="384">
        <v>0.187</v>
      </c>
      <c r="D41" s="395">
        <v>1988</v>
      </c>
      <c r="E41" s="386">
        <v>9.35E-2</v>
      </c>
      <c r="F41" s="387" t="s">
        <v>299</v>
      </c>
      <c r="G41" s="387" t="s">
        <v>300</v>
      </c>
    </row>
    <row r="42" spans="1:7" ht="21" x14ac:dyDescent="0.2">
      <c r="A42" s="394">
        <f t="shared" si="1"/>
        <v>31047</v>
      </c>
      <c r="B42" s="394">
        <f>DATE(YEAR(A42)+1,MONTH(A42),DAY(A42)-1)</f>
        <v>31411</v>
      </c>
      <c r="C42" s="384">
        <v>0.187</v>
      </c>
      <c r="D42" s="395">
        <v>1989</v>
      </c>
      <c r="E42" s="386">
        <v>9.35E-2</v>
      </c>
      <c r="F42" s="387" t="s">
        <v>301</v>
      </c>
      <c r="G42" s="387" t="s">
        <v>302</v>
      </c>
    </row>
    <row r="43" spans="1:7" ht="21.75" thickBot="1" x14ac:dyDescent="0.25">
      <c r="A43" s="394">
        <f t="shared" si="1"/>
        <v>31412</v>
      </c>
      <c r="B43" s="394">
        <f>DATE(YEAR(A43)+1,MONTH(A43),DAY(A43)-1)</f>
        <v>31776</v>
      </c>
      <c r="C43" s="384">
        <v>0.187</v>
      </c>
      <c r="D43" s="398">
        <v>1990</v>
      </c>
      <c r="E43" s="404">
        <v>9.35E-2</v>
      </c>
      <c r="F43" s="400" t="s">
        <v>303</v>
      </c>
      <c r="G43" s="405" t="s">
        <v>304</v>
      </c>
    </row>
    <row r="44" spans="1:7" ht="21" x14ac:dyDescent="0.2">
      <c r="A44" s="394">
        <f t="shared" si="1"/>
        <v>31777</v>
      </c>
      <c r="B44" s="406">
        <v>31866</v>
      </c>
      <c r="C44" s="384">
        <v>0.187</v>
      </c>
      <c r="D44" s="385" t="s">
        <v>305</v>
      </c>
      <c r="E44" s="386">
        <v>9.35E-2</v>
      </c>
      <c r="F44" s="387" t="s">
        <v>306</v>
      </c>
      <c r="G44" s="387" t="s">
        <v>307</v>
      </c>
    </row>
    <row r="45" spans="1:7" x14ac:dyDescent="0.2">
      <c r="A45" s="394">
        <f t="shared" si="1"/>
        <v>31867</v>
      </c>
      <c r="B45" s="406">
        <v>32141</v>
      </c>
      <c r="C45" s="384">
        <v>0.17699999999999999</v>
      </c>
      <c r="D45" s="385" t="s">
        <v>308</v>
      </c>
      <c r="E45" s="386">
        <v>8.8499999999999995E-2</v>
      </c>
      <c r="F45" s="407"/>
      <c r="G45" s="407"/>
    </row>
    <row r="46" spans="1:7" ht="21.75" thickBot="1" x14ac:dyDescent="0.25">
      <c r="A46" s="394">
        <f t="shared" si="1"/>
        <v>32142</v>
      </c>
      <c r="B46" s="394">
        <f t="shared" ref="B46:B52" si="2">DATE(YEAR(A46)+1,MONTH(A46),DAY(A46)-1)</f>
        <v>32507</v>
      </c>
      <c r="C46" s="384">
        <v>0.17699999999999999</v>
      </c>
      <c r="D46" s="396">
        <v>1992</v>
      </c>
      <c r="E46" s="391">
        <v>8.8499999999999995E-2</v>
      </c>
      <c r="F46" s="397" t="s">
        <v>309</v>
      </c>
      <c r="G46" s="397" t="s">
        <v>310</v>
      </c>
    </row>
    <row r="47" spans="1:7" ht="21.75" thickTop="1" x14ac:dyDescent="0.2">
      <c r="A47" s="394">
        <f t="shared" si="1"/>
        <v>32508</v>
      </c>
      <c r="B47" s="394">
        <f t="shared" si="2"/>
        <v>32872</v>
      </c>
      <c r="C47" s="384">
        <v>0.17499999999999999</v>
      </c>
      <c r="D47" s="395">
        <v>1993</v>
      </c>
      <c r="E47" s="386">
        <v>8.7499999999999994E-2</v>
      </c>
      <c r="F47" s="387" t="s">
        <v>311</v>
      </c>
      <c r="G47" s="387" t="s">
        <v>312</v>
      </c>
    </row>
    <row r="48" spans="1:7" ht="21" x14ac:dyDescent="0.2">
      <c r="A48" s="394">
        <f t="shared" si="1"/>
        <v>32873</v>
      </c>
      <c r="B48" s="394">
        <f t="shared" si="2"/>
        <v>33237</v>
      </c>
      <c r="C48" s="384">
        <v>0.192</v>
      </c>
      <c r="D48" s="395">
        <v>1994</v>
      </c>
      <c r="E48" s="386">
        <v>9.6000000000000002E-2</v>
      </c>
      <c r="F48" s="387" t="s">
        <v>313</v>
      </c>
      <c r="G48" s="387" t="s">
        <v>314</v>
      </c>
    </row>
    <row r="49" spans="1:7" ht="21.75" thickBot="1" x14ac:dyDescent="0.25">
      <c r="A49" s="394">
        <f t="shared" si="1"/>
        <v>33238</v>
      </c>
      <c r="B49" s="394">
        <f t="shared" si="2"/>
        <v>33602</v>
      </c>
      <c r="C49" s="384">
        <v>0.186</v>
      </c>
      <c r="D49" s="396">
        <v>1995</v>
      </c>
      <c r="E49" s="391">
        <v>9.2999999999999999E-2</v>
      </c>
      <c r="F49" s="397" t="s">
        <v>315</v>
      </c>
      <c r="G49" s="397" t="s">
        <v>316</v>
      </c>
    </row>
    <row r="50" spans="1:7" ht="21.75" thickTop="1" x14ac:dyDescent="0.2">
      <c r="A50" s="394">
        <f t="shared" si="1"/>
        <v>33603</v>
      </c>
      <c r="B50" s="394">
        <f t="shared" si="2"/>
        <v>33968</v>
      </c>
      <c r="C50" s="384">
        <v>0.192</v>
      </c>
      <c r="D50" s="395">
        <v>1996</v>
      </c>
      <c r="E50" s="386">
        <v>9.6000000000000002E-2</v>
      </c>
      <c r="F50" s="387" t="s">
        <v>317</v>
      </c>
      <c r="G50" s="387" t="s">
        <v>318</v>
      </c>
    </row>
    <row r="51" spans="1:7" ht="21" x14ac:dyDescent="0.2">
      <c r="A51" s="394">
        <f t="shared" si="1"/>
        <v>33969</v>
      </c>
      <c r="B51" s="394">
        <f t="shared" si="2"/>
        <v>34333</v>
      </c>
      <c r="C51" s="384">
        <v>0.20300000000000001</v>
      </c>
      <c r="D51" s="395">
        <v>1997</v>
      </c>
      <c r="E51" s="408">
        <v>0.10150000000000001</v>
      </c>
      <c r="F51" s="387" t="s">
        <v>319</v>
      </c>
      <c r="G51" s="387" t="s">
        <v>320</v>
      </c>
    </row>
    <row r="52" spans="1:7" ht="21.75" thickBot="1" x14ac:dyDescent="0.25">
      <c r="A52" s="394">
        <f t="shared" si="1"/>
        <v>34334</v>
      </c>
      <c r="B52" s="394">
        <f t="shared" si="2"/>
        <v>34698</v>
      </c>
      <c r="C52" s="384">
        <v>0.20300000000000001</v>
      </c>
      <c r="D52" s="409">
        <v>1998</v>
      </c>
      <c r="E52" s="410">
        <v>0.10150000000000001</v>
      </c>
      <c r="F52" s="411" t="s">
        <v>321</v>
      </c>
      <c r="G52" s="397" t="s">
        <v>322</v>
      </c>
    </row>
    <row r="53" spans="1:7" ht="13.5" thickTop="1" x14ac:dyDescent="0.2">
      <c r="A53" s="412">
        <v>34699</v>
      </c>
      <c r="B53" s="413">
        <v>34788</v>
      </c>
      <c r="C53" s="384">
        <v>0.20300000000000001</v>
      </c>
      <c r="D53" s="414" t="s">
        <v>323</v>
      </c>
      <c r="E53" s="415">
        <v>0.10150000000000001</v>
      </c>
      <c r="F53" s="416">
        <v>102000</v>
      </c>
      <c r="G53" s="416">
        <v>8500</v>
      </c>
    </row>
    <row r="54" spans="1:7" x14ac:dyDescent="0.2">
      <c r="A54" s="412">
        <v>34789</v>
      </c>
      <c r="B54" s="413">
        <v>35063</v>
      </c>
      <c r="C54" s="384">
        <v>0.19500000000000001</v>
      </c>
      <c r="D54" s="414" t="s">
        <v>324</v>
      </c>
      <c r="E54" s="415">
        <v>9.7500000000000003E-2</v>
      </c>
      <c r="F54" s="407"/>
      <c r="G54" s="407"/>
    </row>
    <row r="55" spans="1:7" ht="13.5" thickBot="1" x14ac:dyDescent="0.25">
      <c r="A55" s="394">
        <f>DATE(YEAR(B54),MONTH(B54),DAY(B54)+1)</f>
        <v>35064</v>
      </c>
      <c r="B55" s="394">
        <f t="shared" ref="B55:B79" si="3">DATE(YEAR(A55)+1,MONTH(A55),DAY(A55)-1)</f>
        <v>35429</v>
      </c>
      <c r="C55" s="417">
        <v>0.193</v>
      </c>
      <c r="D55" s="418">
        <f t="shared" ref="D55:D86" si="4">YEAR(B55)</f>
        <v>1996</v>
      </c>
      <c r="E55" s="419">
        <v>9.6500000000000002E-2</v>
      </c>
      <c r="F55" s="416">
        <v>103200</v>
      </c>
      <c r="G55" s="416">
        <v>8600</v>
      </c>
    </row>
    <row r="56" spans="1:7" ht="14.25" thickTop="1" thickBot="1" x14ac:dyDescent="0.25">
      <c r="A56" s="394">
        <f>DATE(YEAR(B55),MONTH(B55),DAY(B55)+1)</f>
        <v>35430</v>
      </c>
      <c r="B56" s="394">
        <f t="shared" si="3"/>
        <v>35794</v>
      </c>
      <c r="C56" s="384">
        <v>0.191</v>
      </c>
      <c r="D56" s="418">
        <f t="shared" si="4"/>
        <v>1997</v>
      </c>
      <c r="E56" s="415">
        <v>9.5500000000000002E-2</v>
      </c>
      <c r="F56" s="416">
        <v>104400</v>
      </c>
      <c r="G56" s="416">
        <v>8700</v>
      </c>
    </row>
    <row r="57" spans="1:7" ht="14.25" thickTop="1" thickBot="1" x14ac:dyDescent="0.25">
      <c r="A57" s="394">
        <f t="shared" ref="A57:A73" si="5">DATE(YEAR(B56),MONTH(B56),DAY(B56)+1)</f>
        <v>35795</v>
      </c>
      <c r="B57" s="394">
        <f t="shared" si="3"/>
        <v>36159</v>
      </c>
      <c r="C57" s="384">
        <v>0.191</v>
      </c>
      <c r="D57" s="418">
        <f t="shared" si="4"/>
        <v>1998</v>
      </c>
      <c r="E57" s="415">
        <v>9.5500000000000002E-2</v>
      </c>
      <c r="F57" s="420">
        <v>54000</v>
      </c>
      <c r="G57" s="420">
        <v>4500</v>
      </c>
    </row>
    <row r="58" spans="1:7" ht="14.25" thickTop="1" thickBot="1" x14ac:dyDescent="0.25">
      <c r="A58" s="394">
        <f t="shared" si="5"/>
        <v>36160</v>
      </c>
      <c r="B58" s="394">
        <f t="shared" si="3"/>
        <v>36524</v>
      </c>
      <c r="C58" s="417">
        <v>0.19500000000000001</v>
      </c>
      <c r="D58" s="418">
        <f t="shared" si="4"/>
        <v>1999</v>
      </c>
      <c r="E58" s="419">
        <v>9.7500000000000003E-2</v>
      </c>
      <c r="F58" s="420">
        <v>61200</v>
      </c>
      <c r="G58" s="420">
        <v>5100</v>
      </c>
    </row>
    <row r="59" spans="1:7" ht="14.25" thickTop="1" thickBot="1" x14ac:dyDescent="0.25">
      <c r="A59" s="394">
        <f t="shared" si="5"/>
        <v>36525</v>
      </c>
      <c r="B59" s="394">
        <f t="shared" si="3"/>
        <v>36890</v>
      </c>
      <c r="C59" s="384">
        <v>0.19500000000000001</v>
      </c>
      <c r="D59" s="418">
        <f t="shared" si="4"/>
        <v>2000</v>
      </c>
      <c r="E59" s="415">
        <v>9.7500000000000003E-2</v>
      </c>
      <c r="F59" s="420">
        <v>61800</v>
      </c>
      <c r="G59" s="420">
        <v>5150</v>
      </c>
    </row>
    <row r="60" spans="1:7" ht="14.25" thickTop="1" thickBot="1" x14ac:dyDescent="0.25">
      <c r="A60" s="394">
        <f t="shared" si="5"/>
        <v>36891</v>
      </c>
      <c r="B60" s="394">
        <f t="shared" si="3"/>
        <v>37255</v>
      </c>
      <c r="C60" s="384">
        <v>0.19500000000000001</v>
      </c>
      <c r="D60" s="418">
        <f t="shared" si="4"/>
        <v>2001</v>
      </c>
      <c r="E60" s="415">
        <v>9.7500000000000003E-2</v>
      </c>
      <c r="F60" s="420">
        <v>62400</v>
      </c>
      <c r="G60" s="420">
        <v>5200</v>
      </c>
    </row>
    <row r="61" spans="1:7" ht="14.25" thickTop="1" thickBot="1" x14ac:dyDescent="0.25">
      <c r="A61" s="421">
        <f t="shared" si="5"/>
        <v>37256</v>
      </c>
      <c r="B61" s="421">
        <f t="shared" si="3"/>
        <v>37620</v>
      </c>
      <c r="C61" s="417">
        <v>0.19500000000000001</v>
      </c>
      <c r="D61" s="418">
        <f t="shared" si="4"/>
        <v>2002</v>
      </c>
      <c r="E61" s="419">
        <v>9.7500000000000003E-2</v>
      </c>
      <c r="F61" s="420">
        <v>63000</v>
      </c>
      <c r="G61" s="420">
        <v>5250</v>
      </c>
    </row>
    <row r="62" spans="1:7" ht="14.25" thickTop="1" thickBot="1" x14ac:dyDescent="0.25">
      <c r="A62" s="394">
        <f t="shared" si="5"/>
        <v>37621</v>
      </c>
      <c r="B62" s="394">
        <f t="shared" si="3"/>
        <v>37985</v>
      </c>
      <c r="C62" s="384">
        <v>0.19900000000000001</v>
      </c>
      <c r="D62" s="418">
        <f t="shared" si="4"/>
        <v>2003</v>
      </c>
      <c r="E62" s="415">
        <v>9.9500000000000005E-2</v>
      </c>
      <c r="F62" s="420">
        <v>63000</v>
      </c>
      <c r="G62" s="420">
        <v>5250</v>
      </c>
    </row>
    <row r="63" spans="1:7" ht="14.25" thickTop="1" thickBot="1" x14ac:dyDescent="0.25">
      <c r="A63" s="394">
        <f t="shared" si="5"/>
        <v>37986</v>
      </c>
      <c r="B63" s="394">
        <f t="shared" si="3"/>
        <v>38351</v>
      </c>
      <c r="C63" s="384">
        <v>0.19900000000000001</v>
      </c>
      <c r="D63" s="418">
        <f t="shared" si="4"/>
        <v>2004</v>
      </c>
      <c r="E63" s="415">
        <v>9.9500000000000005E-2</v>
      </c>
      <c r="F63" s="420">
        <v>63600</v>
      </c>
      <c r="G63" s="420">
        <v>5300</v>
      </c>
    </row>
    <row r="64" spans="1:7" ht="14.25" thickTop="1" thickBot="1" x14ac:dyDescent="0.25">
      <c r="A64" s="394">
        <f t="shared" si="5"/>
        <v>38352</v>
      </c>
      <c r="B64" s="394">
        <f t="shared" si="3"/>
        <v>38716</v>
      </c>
      <c r="C64" s="422">
        <v>0.19900000000000001</v>
      </c>
      <c r="D64" s="418">
        <f t="shared" si="4"/>
        <v>2005</v>
      </c>
      <c r="E64" s="423">
        <v>9.9500000000000005E-2</v>
      </c>
      <c r="F64" s="420">
        <v>64800</v>
      </c>
      <c r="G64" s="420">
        <v>5400</v>
      </c>
    </row>
    <row r="65" spans="1:22" ht="13.5" thickBot="1" x14ac:dyDescent="0.25">
      <c r="A65" s="394">
        <f t="shared" si="5"/>
        <v>38717</v>
      </c>
      <c r="B65" s="394">
        <f t="shared" si="3"/>
        <v>39081</v>
      </c>
      <c r="C65" s="384">
        <v>0.19900000000000001</v>
      </c>
      <c r="D65" s="418">
        <f t="shared" si="4"/>
        <v>2006</v>
      </c>
      <c r="E65" s="415">
        <v>9.9500000000000005E-2</v>
      </c>
      <c r="F65" s="420">
        <v>66000</v>
      </c>
      <c r="G65" s="420">
        <v>5500</v>
      </c>
    </row>
    <row r="66" spans="1:22" ht="14.25" thickTop="1" thickBot="1" x14ac:dyDescent="0.25">
      <c r="A66" s="394">
        <f t="shared" si="5"/>
        <v>39082</v>
      </c>
      <c r="B66" s="394">
        <f t="shared" si="3"/>
        <v>39446</v>
      </c>
      <c r="C66" s="384">
        <v>0.19900000000000001</v>
      </c>
      <c r="D66" s="418">
        <f t="shared" si="4"/>
        <v>2007</v>
      </c>
      <c r="E66" s="415">
        <v>9.9500000000000005E-2</v>
      </c>
      <c r="F66" s="420">
        <v>66000</v>
      </c>
      <c r="G66" s="420">
        <v>5500</v>
      </c>
    </row>
    <row r="67" spans="1:22" ht="14.25" thickTop="1" thickBot="1" x14ac:dyDescent="0.25">
      <c r="A67" s="394">
        <f t="shared" si="5"/>
        <v>39447</v>
      </c>
      <c r="B67" s="394">
        <f t="shared" si="3"/>
        <v>39812</v>
      </c>
      <c r="C67" s="424">
        <v>0.19600000000000001</v>
      </c>
      <c r="D67" s="418">
        <f t="shared" si="4"/>
        <v>2008</v>
      </c>
      <c r="E67" s="423">
        <v>9.8000000000000004E-2</v>
      </c>
      <c r="F67" s="420">
        <v>67200</v>
      </c>
      <c r="G67" s="420">
        <v>5600</v>
      </c>
    </row>
    <row r="68" spans="1:22" ht="13.5" thickBot="1" x14ac:dyDescent="0.25">
      <c r="A68" s="394">
        <f t="shared" si="5"/>
        <v>39813</v>
      </c>
      <c r="B68" s="394">
        <f t="shared" si="3"/>
        <v>40177</v>
      </c>
      <c r="C68" s="384">
        <v>0.189</v>
      </c>
      <c r="D68" s="418">
        <f t="shared" si="4"/>
        <v>2009</v>
      </c>
      <c r="E68" s="415">
        <v>9.4500000000000001E-2</v>
      </c>
      <c r="F68" s="420">
        <v>69600</v>
      </c>
      <c r="G68" s="420">
        <v>5800</v>
      </c>
    </row>
    <row r="69" spans="1:22" ht="14.25" thickTop="1" thickBot="1" x14ac:dyDescent="0.25">
      <c r="A69" s="394">
        <f t="shared" si="5"/>
        <v>40178</v>
      </c>
      <c r="B69" s="394">
        <f t="shared" si="3"/>
        <v>40542</v>
      </c>
      <c r="C69" s="384">
        <v>0.189</v>
      </c>
      <c r="D69" s="418">
        <f t="shared" si="4"/>
        <v>2010</v>
      </c>
      <c r="E69" s="415">
        <v>9.4500000000000001E-2</v>
      </c>
      <c r="F69" s="420">
        <v>71400</v>
      </c>
      <c r="G69" s="420">
        <v>5950</v>
      </c>
    </row>
    <row r="70" spans="1:22" ht="14.25" thickTop="1" thickBot="1" x14ac:dyDescent="0.25">
      <c r="A70" s="394">
        <f t="shared" si="5"/>
        <v>40543</v>
      </c>
      <c r="B70" s="394">
        <f t="shared" si="3"/>
        <v>40907</v>
      </c>
      <c r="C70" s="417">
        <v>0.187</v>
      </c>
      <c r="D70" s="418">
        <f t="shared" si="4"/>
        <v>2011</v>
      </c>
      <c r="E70" s="419">
        <v>9.35E-2</v>
      </c>
      <c r="F70" s="420">
        <v>72600</v>
      </c>
      <c r="G70" s="420">
        <v>6050</v>
      </c>
    </row>
    <row r="71" spans="1:22" ht="16.5" thickTop="1" thickBot="1" x14ac:dyDescent="0.3">
      <c r="A71" s="394">
        <f t="shared" si="5"/>
        <v>40908</v>
      </c>
      <c r="B71" s="394">
        <f t="shared" si="3"/>
        <v>41273</v>
      </c>
      <c r="C71" s="384">
        <v>0.187</v>
      </c>
      <c r="D71" s="418">
        <f t="shared" si="4"/>
        <v>2012</v>
      </c>
      <c r="E71" s="415">
        <v>9.35E-2</v>
      </c>
      <c r="F71" s="420">
        <v>74400</v>
      </c>
      <c r="G71" s="420">
        <v>6200</v>
      </c>
      <c r="J71" s="425"/>
    </row>
    <row r="72" spans="1:22" ht="16.5" thickTop="1" thickBot="1" x14ac:dyDescent="0.3">
      <c r="A72" s="394">
        <f t="shared" si="5"/>
        <v>41274</v>
      </c>
      <c r="B72" s="394">
        <f t="shared" si="3"/>
        <v>41638</v>
      </c>
      <c r="C72" s="384">
        <v>0.187</v>
      </c>
      <c r="D72" s="418">
        <f t="shared" si="4"/>
        <v>2013</v>
      </c>
      <c r="E72" s="415">
        <v>9.35E-2</v>
      </c>
      <c r="F72" s="420">
        <v>76200</v>
      </c>
      <c r="G72" s="420">
        <v>6350</v>
      </c>
      <c r="H72" s="425"/>
      <c r="I72" s="425"/>
      <c r="K72" s="425"/>
    </row>
    <row r="73" spans="1:22" ht="14.25" thickTop="1" thickBot="1" x14ac:dyDescent="0.25">
      <c r="A73" s="394">
        <f t="shared" si="5"/>
        <v>41639</v>
      </c>
      <c r="B73" s="394">
        <f t="shared" si="3"/>
        <v>42003</v>
      </c>
      <c r="C73" s="384">
        <v>0.186</v>
      </c>
      <c r="D73" s="418">
        <f t="shared" si="4"/>
        <v>2014</v>
      </c>
      <c r="E73" s="415">
        <v>9.2999999999999999E-2</v>
      </c>
      <c r="F73" s="420">
        <v>78000</v>
      </c>
      <c r="G73" s="420">
        <v>6500</v>
      </c>
    </row>
    <row r="74" spans="1:22" ht="14.25" thickTop="1" thickBot="1" x14ac:dyDescent="0.25">
      <c r="A74" s="394">
        <f>DATE(YEAR(B73),MONTH(B73),DAY(B73)+1)</f>
        <v>42004</v>
      </c>
      <c r="B74" s="394">
        <f t="shared" si="3"/>
        <v>42368</v>
      </c>
      <c r="C74" s="426">
        <f>C73</f>
        <v>0.186</v>
      </c>
      <c r="D74" s="418">
        <f t="shared" si="4"/>
        <v>2015</v>
      </c>
      <c r="E74" s="427">
        <f>C74/2</f>
        <v>9.2999999999999999E-2</v>
      </c>
      <c r="F74" s="428">
        <f>F73</f>
        <v>78000</v>
      </c>
      <c r="G74" s="429">
        <v>6700</v>
      </c>
    </row>
    <row r="75" spans="1:22" ht="14.25" thickTop="1" thickBot="1" x14ac:dyDescent="0.25">
      <c r="A75" s="394">
        <f t="shared" ref="A75:A79" si="6">DATE(YEAR(B74),MONTH(B74),DAY(B74)+1)</f>
        <v>42369</v>
      </c>
      <c r="B75" s="394">
        <f t="shared" si="3"/>
        <v>42734</v>
      </c>
      <c r="C75" s="426">
        <f t="shared" ref="C75:C86" si="7">C74</f>
        <v>0.186</v>
      </c>
      <c r="D75" s="418">
        <f t="shared" si="4"/>
        <v>2016</v>
      </c>
      <c r="E75" s="430">
        <f t="shared" ref="E75:E86" si="8">C75/2</f>
        <v>9.2999999999999999E-2</v>
      </c>
      <c r="F75" s="428">
        <f t="shared" ref="F75:G79" si="9">F74</f>
        <v>78000</v>
      </c>
      <c r="G75" s="429">
        <v>6900</v>
      </c>
    </row>
    <row r="76" spans="1:22" ht="14.25" thickTop="1" thickBot="1" x14ac:dyDescent="0.25">
      <c r="A76" s="394">
        <f t="shared" si="6"/>
        <v>42735</v>
      </c>
      <c r="B76" s="394">
        <f t="shared" si="3"/>
        <v>43099</v>
      </c>
      <c r="C76" s="426">
        <f t="shared" si="7"/>
        <v>0.186</v>
      </c>
      <c r="D76" s="418">
        <f t="shared" si="4"/>
        <v>2017</v>
      </c>
      <c r="E76" s="430">
        <f t="shared" si="8"/>
        <v>9.2999999999999999E-2</v>
      </c>
      <c r="F76" s="428">
        <f t="shared" si="9"/>
        <v>78000</v>
      </c>
      <c r="G76" s="429">
        <v>7100</v>
      </c>
    </row>
    <row r="77" spans="1:22" ht="14.25" thickTop="1" thickBot="1" x14ac:dyDescent="0.25">
      <c r="A77" s="394">
        <f t="shared" si="6"/>
        <v>43100</v>
      </c>
      <c r="B77" s="394">
        <f t="shared" si="3"/>
        <v>43464</v>
      </c>
      <c r="C77" s="426">
        <f t="shared" si="7"/>
        <v>0.186</v>
      </c>
      <c r="D77" s="418">
        <f t="shared" si="4"/>
        <v>2018</v>
      </c>
      <c r="E77" s="430">
        <f t="shared" si="8"/>
        <v>9.2999999999999999E-2</v>
      </c>
      <c r="F77" s="428">
        <f t="shared" si="9"/>
        <v>78000</v>
      </c>
      <c r="G77" s="432">
        <f t="shared" si="9"/>
        <v>7100</v>
      </c>
    </row>
    <row r="78" spans="1:22" ht="14.25" thickTop="1" thickBot="1" x14ac:dyDescent="0.25">
      <c r="A78" s="394">
        <f t="shared" si="6"/>
        <v>43465</v>
      </c>
      <c r="B78" s="394">
        <f t="shared" si="3"/>
        <v>43829</v>
      </c>
      <c r="C78" s="426">
        <f t="shared" si="7"/>
        <v>0.186</v>
      </c>
      <c r="D78" s="418">
        <f t="shared" si="4"/>
        <v>2019</v>
      </c>
      <c r="E78" s="430">
        <f t="shared" si="8"/>
        <v>9.2999999999999999E-2</v>
      </c>
      <c r="F78" s="428">
        <f t="shared" si="9"/>
        <v>78000</v>
      </c>
      <c r="G78" s="432">
        <f t="shared" si="9"/>
        <v>7100</v>
      </c>
      <c r="V78" s="420"/>
    </row>
    <row r="79" spans="1:22" ht="14.25" thickTop="1" thickBot="1" x14ac:dyDescent="0.25">
      <c r="A79" s="394">
        <f t="shared" si="6"/>
        <v>43830</v>
      </c>
      <c r="B79" s="394">
        <f t="shared" si="3"/>
        <v>44195</v>
      </c>
      <c r="C79" s="426">
        <f t="shared" si="7"/>
        <v>0.186</v>
      </c>
      <c r="D79" s="418">
        <f t="shared" si="4"/>
        <v>2020</v>
      </c>
      <c r="E79" s="430">
        <f t="shared" si="8"/>
        <v>9.2999999999999999E-2</v>
      </c>
      <c r="F79" s="428">
        <f t="shared" si="9"/>
        <v>78000</v>
      </c>
      <c r="G79" s="432">
        <f t="shared" si="9"/>
        <v>7100</v>
      </c>
    </row>
    <row r="80" spans="1:22" ht="14.25" thickTop="1" thickBot="1" x14ac:dyDescent="0.25">
      <c r="A80" s="394">
        <f t="shared" ref="A80:A86" si="10">DATE(YEAR(B79),MONTH(B79),DAY(B79)+1)</f>
        <v>44196</v>
      </c>
      <c r="B80" s="394">
        <f t="shared" ref="B80:B86" si="11">DATE(YEAR(A80)+1,MONTH(A80),DAY(A80)-1)</f>
        <v>44560</v>
      </c>
      <c r="C80" s="426">
        <f t="shared" si="7"/>
        <v>0.186</v>
      </c>
      <c r="D80" s="418">
        <f t="shared" si="4"/>
        <v>2021</v>
      </c>
      <c r="E80" s="430">
        <f t="shared" si="8"/>
        <v>9.2999999999999999E-2</v>
      </c>
      <c r="F80" s="428">
        <f t="shared" ref="F80:G80" si="12">F79</f>
        <v>78000</v>
      </c>
      <c r="G80" s="432">
        <f t="shared" si="12"/>
        <v>7100</v>
      </c>
    </row>
    <row r="81" spans="1:8" ht="14.25" thickTop="1" thickBot="1" x14ac:dyDescent="0.25">
      <c r="A81" s="394">
        <f t="shared" si="10"/>
        <v>44561</v>
      </c>
      <c r="B81" s="394">
        <f t="shared" si="11"/>
        <v>44925</v>
      </c>
      <c r="C81" s="426">
        <f t="shared" si="7"/>
        <v>0.186</v>
      </c>
      <c r="D81" s="418">
        <f t="shared" si="4"/>
        <v>2022</v>
      </c>
      <c r="E81" s="430">
        <f t="shared" si="8"/>
        <v>9.2999999999999999E-2</v>
      </c>
      <c r="F81" s="428">
        <f t="shared" ref="F81:G81" si="13">F80</f>
        <v>78000</v>
      </c>
      <c r="G81" s="432">
        <f t="shared" si="13"/>
        <v>7100</v>
      </c>
    </row>
    <row r="82" spans="1:8" ht="14.25" thickTop="1" thickBot="1" x14ac:dyDescent="0.25">
      <c r="A82" s="394">
        <f t="shared" si="10"/>
        <v>44926</v>
      </c>
      <c r="B82" s="394">
        <f t="shared" si="11"/>
        <v>45290</v>
      </c>
      <c r="C82" s="426">
        <f t="shared" si="7"/>
        <v>0.186</v>
      </c>
      <c r="D82" s="418">
        <f t="shared" si="4"/>
        <v>2023</v>
      </c>
      <c r="E82" s="430">
        <f t="shared" si="8"/>
        <v>9.2999999999999999E-2</v>
      </c>
      <c r="F82" s="428">
        <f t="shared" ref="F82:G82" si="14">F81</f>
        <v>78000</v>
      </c>
      <c r="G82" s="432">
        <f t="shared" si="14"/>
        <v>7100</v>
      </c>
    </row>
    <row r="83" spans="1:8" ht="14.25" thickTop="1" thickBot="1" x14ac:dyDescent="0.25">
      <c r="A83" s="394">
        <f t="shared" si="10"/>
        <v>45291</v>
      </c>
      <c r="B83" s="394">
        <f t="shared" si="11"/>
        <v>45656</v>
      </c>
      <c r="C83" s="426">
        <f t="shared" si="7"/>
        <v>0.186</v>
      </c>
      <c r="D83" s="418">
        <f t="shared" si="4"/>
        <v>2024</v>
      </c>
      <c r="E83" s="430">
        <f t="shared" si="8"/>
        <v>9.2999999999999999E-2</v>
      </c>
      <c r="F83" s="428">
        <f t="shared" ref="F83:G83" si="15">F82</f>
        <v>78000</v>
      </c>
      <c r="G83" s="432">
        <f t="shared" si="15"/>
        <v>7100</v>
      </c>
    </row>
    <row r="84" spans="1:8" ht="14.25" thickTop="1" thickBot="1" x14ac:dyDescent="0.25">
      <c r="A84" s="394">
        <f t="shared" si="10"/>
        <v>45657</v>
      </c>
      <c r="B84" s="394">
        <f t="shared" si="11"/>
        <v>46021</v>
      </c>
      <c r="C84" s="426">
        <f t="shared" si="7"/>
        <v>0.186</v>
      </c>
      <c r="D84" s="418">
        <f t="shared" si="4"/>
        <v>2025</v>
      </c>
      <c r="E84" s="430">
        <f t="shared" si="8"/>
        <v>9.2999999999999999E-2</v>
      </c>
      <c r="F84" s="428">
        <f t="shared" ref="F84:G84" si="16">F83</f>
        <v>78000</v>
      </c>
      <c r="G84" s="432">
        <f t="shared" si="16"/>
        <v>7100</v>
      </c>
    </row>
    <row r="85" spans="1:8" ht="14.25" thickTop="1" thickBot="1" x14ac:dyDescent="0.25">
      <c r="A85" s="394">
        <f t="shared" si="10"/>
        <v>46022</v>
      </c>
      <c r="B85" s="394">
        <f t="shared" si="11"/>
        <v>46386</v>
      </c>
      <c r="C85" s="426">
        <f t="shared" si="7"/>
        <v>0.186</v>
      </c>
      <c r="D85" s="418">
        <f t="shared" si="4"/>
        <v>2026</v>
      </c>
      <c r="E85" s="430">
        <f t="shared" si="8"/>
        <v>9.2999999999999999E-2</v>
      </c>
      <c r="F85" s="428">
        <f t="shared" ref="F85:G85" si="17">F84</f>
        <v>78000</v>
      </c>
      <c r="G85" s="432">
        <f t="shared" si="17"/>
        <v>7100</v>
      </c>
    </row>
    <row r="86" spans="1:8" ht="14.25" thickTop="1" thickBot="1" x14ac:dyDescent="0.25">
      <c r="A86" s="394">
        <f t="shared" si="10"/>
        <v>46387</v>
      </c>
      <c r="B86" s="394">
        <f t="shared" si="11"/>
        <v>46751</v>
      </c>
      <c r="C86" s="426">
        <f t="shared" si="7"/>
        <v>0.186</v>
      </c>
      <c r="D86" s="418">
        <f t="shared" si="4"/>
        <v>2027</v>
      </c>
      <c r="E86" s="430">
        <f t="shared" si="8"/>
        <v>9.2999999999999999E-2</v>
      </c>
      <c r="F86" s="428">
        <f t="shared" ref="F86:G86" si="18">F85</f>
        <v>78000</v>
      </c>
      <c r="G86" s="432">
        <f t="shared" si="18"/>
        <v>7100</v>
      </c>
    </row>
    <row r="87" spans="1:8" ht="13.5" thickTop="1" x14ac:dyDescent="0.2">
      <c r="A87" s="394"/>
      <c r="B87" s="394"/>
      <c r="C87" s="426"/>
      <c r="D87" s="465"/>
      <c r="E87" s="430"/>
      <c r="F87" s="428"/>
      <c r="G87" s="432"/>
      <c r="H87" s="431"/>
    </row>
    <row r="88" spans="1:8" x14ac:dyDescent="0.2">
      <c r="A88" s="433" t="s">
        <v>325</v>
      </c>
    </row>
    <row r="89" spans="1:8" x14ac:dyDescent="0.2">
      <c r="A89" s="434" t="s">
        <v>326</v>
      </c>
    </row>
    <row r="90" spans="1:8" x14ac:dyDescent="0.2">
      <c r="A90" s="435" t="s">
        <v>327</v>
      </c>
    </row>
    <row r="91" spans="1:8" ht="19.5" x14ac:dyDescent="0.2">
      <c r="A91" s="436" t="s">
        <v>328</v>
      </c>
      <c r="B91" s="437" t="s">
        <v>329</v>
      </c>
      <c r="D91" s="436" t="s">
        <v>330</v>
      </c>
    </row>
    <row r="92" spans="1:8" x14ac:dyDescent="0.2">
      <c r="A92" s="438" t="s">
        <v>331</v>
      </c>
      <c r="B92" s="438" t="s">
        <v>332</v>
      </c>
    </row>
    <row r="93" spans="1:8" x14ac:dyDescent="0.2">
      <c r="A93" s="439" t="s">
        <v>333</v>
      </c>
      <c r="C93" s="439" t="s">
        <v>334</v>
      </c>
    </row>
    <row r="94" spans="1:8" ht="13.5" thickBot="1" x14ac:dyDescent="0.25">
      <c r="A94" s="440" t="s">
        <v>335</v>
      </c>
    </row>
    <row r="95" spans="1:8" x14ac:dyDescent="0.2">
      <c r="A95" s="441">
        <v>2</v>
      </c>
      <c r="B95" s="442" t="s">
        <v>336</v>
      </c>
      <c r="C95" s="443" t="s">
        <v>337</v>
      </c>
      <c r="D95" s="444">
        <v>575.51</v>
      </c>
      <c r="E95" s="445">
        <v>107.04</v>
      </c>
      <c r="F95" s="446">
        <v>5.66</v>
      </c>
    </row>
    <row r="96" spans="1:8" x14ac:dyDescent="0.2">
      <c r="A96" s="407"/>
      <c r="B96" s="414" t="s">
        <v>338</v>
      </c>
      <c r="C96" s="447" t="s">
        <v>337</v>
      </c>
      <c r="D96" s="448">
        <v>698.83</v>
      </c>
      <c r="E96" s="449">
        <v>129.97999999999999</v>
      </c>
      <c r="F96" s="450">
        <v>6.87</v>
      </c>
    </row>
    <row r="97" spans="1:6" ht="13.5" thickBot="1" x14ac:dyDescent="0.25">
      <c r="A97" s="451"/>
      <c r="B97" s="452" t="s">
        <v>339</v>
      </c>
      <c r="C97" s="453" t="s">
        <v>337</v>
      </c>
      <c r="D97" s="454" t="s">
        <v>340</v>
      </c>
      <c r="E97" s="455">
        <v>152.91999999999999</v>
      </c>
      <c r="F97" s="456">
        <v>8.08</v>
      </c>
    </row>
    <row r="98" spans="1:6" x14ac:dyDescent="0.2">
      <c r="A98" s="457">
        <v>3</v>
      </c>
      <c r="B98" s="458" t="s">
        <v>336</v>
      </c>
      <c r="C98" s="447" t="s">
        <v>337</v>
      </c>
      <c r="D98" s="448">
        <v>916.55</v>
      </c>
      <c r="E98" s="449">
        <v>170.48</v>
      </c>
      <c r="F98" s="450">
        <v>9.01</v>
      </c>
    </row>
    <row r="99" spans="1:6" x14ac:dyDescent="0.2">
      <c r="A99" s="407"/>
      <c r="B99" s="414" t="s">
        <v>338</v>
      </c>
      <c r="C99" s="447" t="s">
        <v>337</v>
      </c>
      <c r="D99" s="450">
        <v>1112.95</v>
      </c>
      <c r="E99" s="449">
        <v>207.01</v>
      </c>
      <c r="F99" s="450">
        <v>10.94</v>
      </c>
    </row>
    <row r="100" spans="1:6" ht="13.5" thickBot="1" x14ac:dyDescent="0.25">
      <c r="A100" s="459"/>
      <c r="B100" s="460" t="s">
        <v>339</v>
      </c>
      <c r="C100" s="461" t="s">
        <v>337</v>
      </c>
      <c r="D100" s="462">
        <v>1309.3499999999999</v>
      </c>
      <c r="E100" s="463">
        <v>243.54</v>
      </c>
      <c r="F100" s="462">
        <v>12.87</v>
      </c>
    </row>
    <row r="101" spans="1:6" ht="13.5" thickTop="1" x14ac:dyDescent="0.2">
      <c r="A101" s="457">
        <v>4</v>
      </c>
      <c r="B101" s="414" t="s">
        <v>336</v>
      </c>
      <c r="C101" s="447" t="s">
        <v>337</v>
      </c>
      <c r="D101" s="450">
        <v>1492.05</v>
      </c>
      <c r="E101" s="449">
        <v>277.52</v>
      </c>
      <c r="F101" s="450">
        <v>14.67</v>
      </c>
    </row>
    <row r="102" spans="1:6" x14ac:dyDescent="0.2">
      <c r="A102" s="407"/>
      <c r="B102" s="414" t="s">
        <v>338</v>
      </c>
      <c r="C102" s="447" t="s">
        <v>337</v>
      </c>
      <c r="D102" s="450">
        <v>1811.78</v>
      </c>
      <c r="E102" s="449">
        <v>336.99</v>
      </c>
      <c r="F102" s="450">
        <v>17.809999999999999</v>
      </c>
    </row>
    <row r="103" spans="1:6" ht="13.5" thickBot="1" x14ac:dyDescent="0.25">
      <c r="A103" s="459"/>
      <c r="B103" s="460" t="s">
        <v>339</v>
      </c>
      <c r="C103" s="461" t="s">
        <v>337</v>
      </c>
      <c r="D103" s="462">
        <v>2131.5</v>
      </c>
      <c r="E103" s="461" t="s">
        <v>341</v>
      </c>
      <c r="F103" s="462">
        <v>20.96</v>
      </c>
    </row>
    <row r="104" spans="1:6" ht="13.5" thickTop="1" x14ac:dyDescent="0.2">
      <c r="A104" s="457">
        <v>5</v>
      </c>
      <c r="B104" s="458" t="s">
        <v>336</v>
      </c>
      <c r="C104" s="447" t="s">
        <v>337</v>
      </c>
      <c r="D104" s="450">
        <v>2131.5</v>
      </c>
      <c r="E104" s="449">
        <v>396.46</v>
      </c>
      <c r="F104" s="450">
        <v>20.96</v>
      </c>
    </row>
    <row r="105" spans="1:6" x14ac:dyDescent="0.2">
      <c r="A105" s="407"/>
      <c r="B105" s="414" t="s">
        <v>338</v>
      </c>
      <c r="C105" s="447" t="s">
        <v>337</v>
      </c>
      <c r="D105" s="450">
        <v>2588.25</v>
      </c>
      <c r="E105" s="449">
        <v>481.41</v>
      </c>
      <c r="F105" s="450">
        <v>25.45</v>
      </c>
    </row>
    <row r="106" spans="1:6" ht="13.5" thickBot="1" x14ac:dyDescent="0.25">
      <c r="A106" s="459"/>
      <c r="B106" s="464" t="s">
        <v>339</v>
      </c>
      <c r="C106" s="461" t="s">
        <v>337</v>
      </c>
      <c r="D106" s="462">
        <v>3045</v>
      </c>
      <c r="E106" s="463">
        <v>566.37</v>
      </c>
      <c r="F106" s="462">
        <v>29.94</v>
      </c>
    </row>
    <row r="107" spans="1:6" ht="13.5" thickTop="1" x14ac:dyDescent="0.2">
      <c r="A107" t="s">
        <v>342</v>
      </c>
    </row>
  </sheetData>
  <protectedRanges>
    <protectedRange sqref="A1:G1048576 H71:H72 H89:P1048576 H65:H69 Q88:Q1048576 R87:R1048576 S1:XFD1048576 H75:R85 L87:P88 H86:K88 L86:R86 J1:J71 I1:I72 H1:H63 K1:R61 H73:K74 K62:N63 K64:K72 L64:N74 O62:R74" name="Bereich1"/>
  </protectedRanges>
  <mergeCells count="2">
    <mergeCell ref="C1:G1"/>
    <mergeCell ref="A4:B4"/>
  </mergeCells>
  <hyperlinks>
    <hyperlink ref="A1" location="Inhalt!A1" display="Inhaltsverzeichnis" xr:uid="{64506D5D-982B-493E-A54E-52B0DD695B3D}"/>
  </hyperlink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Stammdaten</vt:lpstr>
      <vt:lpstr>Gehaltsabrechnung</vt:lpstr>
      <vt:lpstr>Lohnkonto</vt:lpstr>
      <vt:lpstr>Anleitung</vt:lpstr>
      <vt:lpstr>Vorsorgetabelle</vt:lpstr>
      <vt:lpstr>Tabelle1</vt:lpstr>
      <vt:lpstr>Beitragsbemessungsgrenzen</vt:lpstr>
      <vt:lpstr>Gehaltsabrechnung!Druckbereich</vt:lpstr>
      <vt:lpstr>Lohnkonto!Druckbereich</vt:lpstr>
      <vt:lpstr>gebdatum</vt:lpstr>
      <vt:lpstr>gewJahr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Gehaltsabrechnung 2014</dc:title>
  <dc:subject>selbsrechnendes Gehaltsabrechnungs Formular in EXCEL (Makro)</dc:subject>
  <dc:creator>Parmentier</dc:creator>
  <cp:lastModifiedBy>Kleyer</cp:lastModifiedBy>
  <cp:lastPrinted>2021-04-11T15:56:04Z</cp:lastPrinted>
  <dcterms:created xsi:type="dcterms:W3CDTF">2000-03-16T14:16:40Z</dcterms:created>
  <dcterms:modified xsi:type="dcterms:W3CDTF">2021-04-15T11:06:50Z</dcterms:modified>
</cp:coreProperties>
</file>