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eudeloitte-my.sharepoint.com/personal/saltinok_deloitte_de/Documents/"/>
    </mc:Choice>
  </mc:AlternateContent>
  <xr:revisionPtr revIDLastSave="809" documentId="8_{F9EB8F0E-2EC7-429F-BAD8-0CA280AB2743}" xr6:coauthVersionLast="47" xr6:coauthVersionMax="47" xr10:uidLastSave="{57BC3064-DA23-4709-B169-1C13DC51350A}"/>
  <bookViews>
    <workbookView xWindow="28680" yWindow="-120" windowWidth="38640" windowHeight="21120" xr2:uid="{DE8674D5-95CE-4C60-A4E7-E15D1C4EEB58}"/>
  </bookViews>
  <sheets>
    <sheet name="Provinzial &amp; ETF" sheetId="1" r:id="rId1"/>
  </sheet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7" i="1" l="1"/>
  <c r="R27" i="1"/>
  <c r="P27" i="1"/>
  <c r="Q11" i="1"/>
  <c r="R11" i="1"/>
  <c r="P11" i="1"/>
  <c r="Q10" i="1"/>
  <c r="R10" i="1"/>
  <c r="P10" i="1"/>
  <c r="K10" i="1"/>
  <c r="L10" i="1"/>
  <c r="J10" i="1"/>
  <c r="E15" i="1"/>
  <c r="F15" i="1"/>
  <c r="D15" i="1"/>
  <c r="E10" i="1"/>
  <c r="F10" i="1"/>
  <c r="D10" i="1"/>
  <c r="K13" i="1"/>
  <c r="K14" i="1" s="1"/>
  <c r="L13" i="1"/>
  <c r="L14" i="1" s="1"/>
  <c r="J13" i="1"/>
  <c r="J14" i="1" s="1"/>
  <c r="R25" i="1"/>
  <c r="R26" i="1" s="1"/>
  <c r="Q25" i="1"/>
  <c r="Q26" i="1" s="1"/>
  <c r="P25" i="1"/>
  <c r="P26" i="1" s="1"/>
  <c r="R20" i="1"/>
  <c r="Q20" i="1"/>
  <c r="P20" i="1"/>
  <c r="R19" i="1"/>
  <c r="Q19" i="1"/>
  <c r="P19" i="1"/>
  <c r="R18" i="1"/>
  <c r="Q18" i="1"/>
  <c r="P18" i="1"/>
  <c r="R17" i="1"/>
  <c r="Q17" i="1"/>
  <c r="P17" i="1"/>
  <c r="L16" i="1"/>
  <c r="K16" i="1"/>
  <c r="J16" i="1"/>
  <c r="K17" i="1" l="1"/>
  <c r="J17" i="1"/>
  <c r="J18" i="1" s="1"/>
  <c r="J19" i="1" s="1"/>
  <c r="P21" i="1"/>
  <c r="P22" i="1" s="1"/>
  <c r="L17" i="1"/>
  <c r="L18" i="1" s="1"/>
  <c r="R21" i="1"/>
  <c r="R24" i="1" s="1"/>
  <c r="R28" i="1" s="1"/>
  <c r="Q21" i="1"/>
  <c r="Q22" i="1" s="1"/>
  <c r="E8" i="1"/>
  <c r="F8" i="1"/>
  <c r="D8" i="1"/>
  <c r="K18" i="1"/>
  <c r="E17" i="1"/>
  <c r="F17" i="1"/>
  <c r="D17" i="1"/>
  <c r="D22" i="1" l="1"/>
  <c r="D23" i="1" s="1"/>
  <c r="D24" i="1" s="1"/>
  <c r="D25" i="1" s="1"/>
  <c r="D18" i="1"/>
  <c r="F22" i="1"/>
  <c r="F23" i="1" s="1"/>
  <c r="F24" i="1" s="1"/>
  <c r="F25" i="1" s="1"/>
  <c r="F18" i="1"/>
  <c r="E22" i="1"/>
  <c r="E23" i="1" s="1"/>
  <c r="E24" i="1" s="1"/>
  <c r="E25" i="1" s="1"/>
  <c r="E18" i="1"/>
  <c r="P24" i="1"/>
  <c r="P28" i="1" s="1"/>
  <c r="Q24" i="1"/>
  <c r="Q28" i="1" s="1"/>
  <c r="Q29" i="1" s="1"/>
  <c r="R22" i="1"/>
  <c r="P29" i="1"/>
  <c r="R29" i="1"/>
  <c r="K19" i="1"/>
  <c r="K20" i="1" s="1"/>
  <c r="K21" i="1" s="1"/>
  <c r="J20" i="1"/>
  <c r="J21" i="1" s="1"/>
  <c r="L19" i="1"/>
  <c r="L20" i="1" s="1"/>
  <c r="L21" i="1" s="1"/>
  <c r="D26" i="1" l="1"/>
  <c r="F26" i="1"/>
  <c r="J22" i="1"/>
  <c r="Q30" i="1"/>
  <c r="Q31" i="1" s="1"/>
  <c r="Q32" i="1" s="1"/>
  <c r="P30" i="1"/>
  <c r="P31" i="1" s="1"/>
  <c r="P32" i="1" s="1"/>
  <c r="R30" i="1"/>
  <c r="R31" i="1" s="1"/>
  <c r="R32" i="1" s="1"/>
  <c r="L22" i="1"/>
  <c r="K22" i="1"/>
  <c r="E26" i="1"/>
  <c r="R33" i="1" l="1"/>
  <c r="P33" i="1"/>
  <c r="Q33" i="1"/>
</calcChain>
</file>

<file path=xl/sharedStrings.xml><?xml version="1.0" encoding="utf-8"?>
<sst xmlns="http://schemas.openxmlformats.org/spreadsheetml/2006/main" count="81" uniqueCount="50">
  <si>
    <t>Provinzial Fondrente Vario 2022</t>
  </si>
  <si>
    <t>Beginn</t>
  </si>
  <si>
    <t>Laufzeit in Jahren</t>
  </si>
  <si>
    <t>Sparrate im Monat</t>
  </si>
  <si>
    <t>Renditeentwicklung</t>
  </si>
  <si>
    <t>Ende</t>
  </si>
  <si>
    <t>Eingezahlter Betrag</t>
  </si>
  <si>
    <t>Laufzeit in Monaten</t>
  </si>
  <si>
    <t>Nettoauszahlung</t>
  </si>
  <si>
    <t>ETF Trade Republic</t>
  </si>
  <si>
    <t>- Abschluss- und Vertriebskosten (Verteilt auf ersten 5 Jahren)</t>
  </si>
  <si>
    <t xml:space="preserve"> (* 50%) Steuergrundlage (Halbwert)</t>
  </si>
  <si>
    <t xml:space="preserve"> - Anfallende Steuer</t>
  </si>
  <si>
    <t>- Fondkosten (0,2% p.A.)</t>
  </si>
  <si>
    <t xml:space="preserve">Nettoauszahlung </t>
  </si>
  <si>
    <t>Netto Wertzuwachs</t>
  </si>
  <si>
    <t>Sparrate im Jahr</t>
  </si>
  <si>
    <t>Fondkosten relativ p.A.</t>
  </si>
  <si>
    <t>Szenario 1</t>
  </si>
  <si>
    <t>Szenario 2</t>
  </si>
  <si>
    <t>Szenario 3</t>
  </si>
  <si>
    <t xml:space="preserve"> (* 70%) Steuergrundlage (30% Steuerfrei, bei Fonds mit &gt;51% Aktienanteil)</t>
  </si>
  <si>
    <t>Variante 1</t>
  </si>
  <si>
    <t>Variante 2</t>
  </si>
  <si>
    <t>Variante 3</t>
  </si>
  <si>
    <t>Laufzeit in Jahren Provinzial</t>
  </si>
  <si>
    <t>Laufzeit in Jahren ETF</t>
  </si>
  <si>
    <t xml:space="preserve">Laufzeit Gesamt </t>
  </si>
  <si>
    <t>Laufzeit in Monaten Gesamt</t>
  </si>
  <si>
    <t>Fondkosten relativ p.A. ETF</t>
  </si>
  <si>
    <t>Fondkosten relativ p.A. Provinzial</t>
  </si>
  <si>
    <t>Verwaltungskosten</t>
  </si>
  <si>
    <t>Eingezahlter Betrag nach 3 Jahren</t>
  </si>
  <si>
    <t>Realisierte Rendite</t>
  </si>
  <si>
    <t xml:space="preserve"> + Wertzuwachs/-Wertminderung</t>
  </si>
  <si>
    <t>Startbeitrag ETF</t>
  </si>
  <si>
    <t>Monatsrendite</t>
  </si>
  <si>
    <t>Effektive Rendite nach Kosten pro Jahr</t>
  </si>
  <si>
    <t>Anzahl restlicher Monate</t>
  </si>
  <si>
    <t>Ersten 3 Jahre FR Vario 2022; dann ETF Sparplan</t>
  </si>
  <si>
    <t>?</t>
  </si>
  <si>
    <t xml:space="preserve"> + Wertzuwachs / Bruttogewinn</t>
  </si>
  <si>
    <t>= Endwert</t>
  </si>
  <si>
    <t>= Endwert (laut Provinzial)</t>
  </si>
  <si>
    <t>= Endwert nach 3 Jahren</t>
  </si>
  <si>
    <t>- Angefallene Verwaltungskosten auf 3 Jahre* (~3,3% p.A.)</t>
  </si>
  <si>
    <t>- Angefallene Abschluss- und Vertriebskosten (Verteilt auf ersten 3 Jahren)</t>
  </si>
  <si>
    <t xml:space="preserve">- Verwaltungskosten auf 37 Jahre*  </t>
  </si>
  <si>
    <t>Verwaltungskosten fix p.A.</t>
  </si>
  <si>
    <t>Verwaltungskosten variabel (pro Monat)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</si>
</sst>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#,##0\ &quot;€&quot;;[Red]\-#,##0\ &quot;€&quot;"/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-* #,##0\ &quot;€&quot;_-;\-* #,##0\ &quot;€&quot;_-;_-* &quot;-&quot;??\ &quot;€&quot;_-;_-@_-"/>
    <numFmt numFmtId="165" formatCode="0.000%"/>
    <numFmt numFmtId="166" formatCode="#,##0.000\ &quot;€&quot;;[Red]\-#,##0.000\ &quot;€&quot;"/>
  </numFmts>
  <fonts count="4" x14ac:knownFonts="1">
    <font>
      <sz val="11"/>
      <color theme="1"/>
      <name val="Aptos"/>
      <family val="2"/>
    </font>
    <font>
      <sz val="11"/>
      <color theme="1"/>
      <name val="Aptos"/>
      <family val="2"/>
    </font>
    <font>
      <b/>
      <sz val="11"/>
      <color theme="1"/>
      <name val="Aptos"/>
      <family val="2"/>
    </font>
    <font>
      <b/>
      <sz val="16"/>
      <color theme="1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1">
    <xf numFmtId="0" fontId="0" fillId="0" borderId="0" xfId="0"/>
    <xf numFmtId="44" fontId="0" fillId="0" borderId="1" xfId="0" applyNumberFormat="1" applyBorder="1"/>
    <xf numFmtId="0" fontId="2" fillId="0" borderId="1" xfId="0" quotePrefix="1" applyFont="1" applyBorder="1"/>
    <xf numFmtId="44" fontId="0" fillId="0" borderId="1" xfId="1" applyFont="1" applyBorder="1"/>
    <xf numFmtId="0" fontId="2" fillId="0" borderId="0" xfId="0" applyFont="1" applyAlignment="1">
      <alignment wrapText="1"/>
    </xf>
    <xf numFmtId="164" fontId="2" fillId="0" borderId="0" xfId="1" applyNumberFormat="1" applyFont="1" applyAlignment="1">
      <alignment horizontal="left" indent="2"/>
    </xf>
    <xf numFmtId="10" fontId="0" fillId="0" borderId="0" xfId="2" applyNumberFormat="1" applyFont="1"/>
    <xf numFmtId="10" fontId="0" fillId="0" borderId="0" xfId="0" applyNumberFormat="1"/>
    <xf numFmtId="44" fontId="0" fillId="0" borderId="0" xfId="1" applyFont="1" applyFill="1" applyBorder="1"/>
    <xf numFmtId="166" fontId="0" fillId="0" borderId="0" xfId="0" applyNumberFormat="1"/>
    <xf numFmtId="0" fontId="3" fillId="0" borderId="2" xfId="0" applyFont="1" applyBorder="1"/>
    <xf numFmtId="0" fontId="0" fillId="0" borderId="3" xfId="0" applyBorder="1"/>
    <xf numFmtId="0" fontId="0" fillId="0" borderId="4" xfId="0" applyBorder="1"/>
    <xf numFmtId="0" fontId="3" fillId="0" borderId="5" xfId="0" applyFont="1" applyBorder="1"/>
    <xf numFmtId="0" fontId="0" fillId="0" borderId="6" xfId="0" applyBorder="1"/>
    <xf numFmtId="0" fontId="0" fillId="0" borderId="5" xfId="0" applyBorder="1"/>
    <xf numFmtId="0" fontId="2" fillId="0" borderId="6" xfId="0" applyFont="1" applyBorder="1"/>
    <xf numFmtId="14" fontId="0" fillId="0" borderId="6" xfId="0" applyNumberFormat="1" applyBorder="1"/>
    <xf numFmtId="6" fontId="0" fillId="0" borderId="6" xfId="0" applyNumberFormat="1" applyBorder="1"/>
    <xf numFmtId="9" fontId="0" fillId="0" borderId="6" xfId="0" applyNumberFormat="1" applyBorder="1"/>
    <xf numFmtId="10" fontId="0" fillId="0" borderId="6" xfId="0" applyNumberFormat="1" applyBorder="1"/>
    <xf numFmtId="44" fontId="0" fillId="0" borderId="0" xfId="1" applyFont="1" applyBorder="1"/>
    <xf numFmtId="44" fontId="0" fillId="0" borderId="6" xfId="1" applyFont="1" applyBorder="1"/>
    <xf numFmtId="0" fontId="2" fillId="0" borderId="5" xfId="0" applyFont="1" applyBorder="1"/>
    <xf numFmtId="44" fontId="0" fillId="0" borderId="6" xfId="1" applyFont="1" applyFill="1" applyBorder="1"/>
    <xf numFmtId="44" fontId="0" fillId="2" borderId="0" xfId="1" applyFont="1" applyFill="1" applyBorder="1"/>
    <xf numFmtId="44" fontId="0" fillId="2" borderId="6" xfId="1" applyFont="1" applyFill="1" applyBorder="1"/>
    <xf numFmtId="44" fontId="0" fillId="0" borderId="6" xfId="0" applyNumberFormat="1" applyBorder="1"/>
    <xf numFmtId="44" fontId="0" fillId="0" borderId="7" xfId="0" applyNumberFormat="1" applyBorder="1"/>
    <xf numFmtId="44" fontId="2" fillId="0" borderId="6" xfId="0" applyNumberFormat="1" applyFont="1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44" fontId="0" fillId="0" borderId="11" xfId="1" applyFont="1" applyFill="1" applyBorder="1"/>
    <xf numFmtId="44" fontId="0" fillId="0" borderId="1" xfId="1" applyFont="1" applyFill="1" applyBorder="1"/>
    <xf numFmtId="165" fontId="0" fillId="0" borderId="6" xfId="0" applyNumberFormat="1" applyBorder="1"/>
    <xf numFmtId="44" fontId="0" fillId="0" borderId="12" xfId="1" applyFont="1" applyFill="1" applyBorder="1"/>
    <xf numFmtId="44" fontId="0" fillId="0" borderId="7" xfId="1" applyFont="1" applyFill="1" applyBorder="1"/>
    <xf numFmtId="10" fontId="0" fillId="0" borderId="0" xfId="2" applyNumberFormat="1" applyFont="1" applyBorder="1"/>
    <xf numFmtId="10" fontId="0" fillId="0" borderId="6" xfId="2" applyNumberFormat="1" applyFont="1" applyBorder="1"/>
    <xf numFmtId="0" fontId="2" fillId="0" borderId="9" xfId="0" applyFont="1" applyBorder="1"/>
    <xf numFmtId="44" fontId="2" fillId="0" borderId="9" xfId="0" applyNumberFormat="1" applyFont="1" applyBorder="1"/>
    <xf numFmtId="44" fontId="2" fillId="0" borderId="10" xfId="0" applyNumberFormat="1" applyFont="1" applyBorder="1"/>
    <xf numFmtId="0" fontId="2" fillId="0" borderId="11" xfId="0" quotePrefix="1" applyFont="1" applyBorder="1"/>
    <xf numFmtId="8" fontId="0" fillId="0" borderId="11" xfId="1" applyNumberFormat="1" applyFont="1" applyFill="1" applyBorder="1"/>
    <xf numFmtId="8" fontId="0" fillId="0" borderId="12" xfId="1" applyNumberFormat="1" applyFont="1" applyFill="1" applyBorder="1"/>
    <xf numFmtId="44" fontId="0" fillId="0" borderId="7" xfId="1" applyFont="1" applyBorder="1"/>
    <xf numFmtId="10" fontId="0" fillId="0" borderId="0" xfId="2" applyNumberFormat="1" applyFont="1" applyFill="1" applyBorder="1"/>
    <xf numFmtId="0" fontId="0" fillId="0" borderId="0" xfId="0" applyBorder="1"/>
    <xf numFmtId="0" fontId="2" fillId="0" borderId="0" xfId="0" applyFont="1" applyBorder="1"/>
    <xf numFmtId="14" fontId="0" fillId="0" borderId="0" xfId="0" applyNumberFormat="1" applyBorder="1"/>
    <xf numFmtId="6" fontId="0" fillId="0" borderId="0" xfId="0" applyNumberFormat="1" applyBorder="1"/>
    <xf numFmtId="9" fontId="0" fillId="0" borderId="0" xfId="0" applyNumberFormat="1" applyBorder="1"/>
    <xf numFmtId="10" fontId="0" fillId="0" borderId="0" xfId="0" applyNumberFormat="1" applyBorder="1"/>
    <xf numFmtId="44" fontId="0" fillId="0" borderId="0" xfId="0" applyNumberFormat="1" applyBorder="1"/>
    <xf numFmtId="0" fontId="2" fillId="0" borderId="0" xfId="0" quotePrefix="1" applyFont="1" applyBorder="1" applyAlignment="1">
      <alignment wrapText="1"/>
    </xf>
    <xf numFmtId="0" fontId="2" fillId="0" borderId="0" xfId="0" quotePrefix="1" applyFont="1" applyBorder="1"/>
    <xf numFmtId="44" fontId="2" fillId="0" borderId="0" xfId="0" applyNumberFormat="1" applyFont="1" applyBorder="1"/>
    <xf numFmtId="165" fontId="0" fillId="0" borderId="0" xfId="0" applyNumberFormat="1" applyBorder="1"/>
    <xf numFmtId="1" fontId="0" fillId="0" borderId="0" xfId="0" applyNumberFormat="1" applyBorder="1"/>
    <xf numFmtId="1" fontId="0" fillId="0" borderId="6" xfId="0" applyNumberFormat="1" applyBorder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447676</xdr:colOff>
      <xdr:row>1</xdr:row>
      <xdr:rowOff>12317</xdr:rowOff>
    </xdr:from>
    <xdr:to>
      <xdr:col>5</xdr:col>
      <xdr:colOff>1038225</xdr:colOff>
      <xdr:row>3</xdr:row>
      <xdr:rowOff>35808</xdr:rowOff>
    </xdr:to>
    <xdr:pic>
      <xdr:nvPicPr>
        <xdr:cNvPr id="2" name="Picture 1" descr="Provinzial Versicherung – Wikipedia">
          <a:extLst>
            <a:ext uri="{FF2B5EF4-FFF2-40B4-BE49-F238E27FC236}">
              <a16:creationId xmlns:a16="http://schemas.microsoft.com/office/drawing/2014/main" id="{858784D5-2E8B-D50B-460A-6AE14E6EF1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62626" y="212342"/>
          <a:ext cx="1552574" cy="5568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472889</xdr:colOff>
      <xdr:row>1</xdr:row>
      <xdr:rowOff>12317</xdr:rowOff>
    </xdr:from>
    <xdr:to>
      <xdr:col>16</xdr:col>
      <xdr:colOff>1006288</xdr:colOff>
      <xdr:row>3</xdr:row>
      <xdr:rowOff>35808</xdr:rowOff>
    </xdr:to>
    <xdr:pic>
      <xdr:nvPicPr>
        <xdr:cNvPr id="3" name="Picture 2" descr="Provinzial Versicherung – Wikipedia">
          <a:extLst>
            <a:ext uri="{FF2B5EF4-FFF2-40B4-BE49-F238E27FC236}">
              <a16:creationId xmlns:a16="http://schemas.microsoft.com/office/drawing/2014/main" id="{962EFD7F-3228-FA2D-2958-7C93ABFF72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69418" y="214023"/>
          <a:ext cx="1553135" cy="5613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28574</xdr:colOff>
      <xdr:row>1</xdr:row>
      <xdr:rowOff>31367</xdr:rowOff>
    </xdr:from>
    <xdr:to>
      <xdr:col>11</xdr:col>
      <xdr:colOff>1019175</xdr:colOff>
      <xdr:row>2</xdr:row>
      <xdr:rowOff>218195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DD7B105-34FB-5251-F027-0277D62797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163549" y="231392"/>
          <a:ext cx="990601" cy="453528"/>
        </a:xfrm>
        <a:prstGeom prst="rect">
          <a:avLst/>
        </a:prstGeom>
      </xdr:spPr>
    </xdr:pic>
    <xdr:clientData/>
  </xdr:twoCellAnchor>
  <xdr:twoCellAnchor editAs="oneCell">
    <xdr:from>
      <xdr:col>17</xdr:col>
      <xdr:colOff>11206</xdr:colOff>
      <xdr:row>1</xdr:row>
      <xdr:rowOff>44824</xdr:rowOff>
    </xdr:from>
    <xdr:to>
      <xdr:col>17</xdr:col>
      <xdr:colOff>918882</xdr:colOff>
      <xdr:row>2</xdr:row>
      <xdr:rowOff>193694</xdr:rowOff>
    </xdr:to>
    <xdr:pic>
      <xdr:nvPicPr>
        <xdr:cNvPr id="5" name="Picture 4" descr="Unternehmen der Fintech Branche: Trade Republic Bank GmbH -  Paymentandbanking">
          <a:extLst>
            <a:ext uri="{FF2B5EF4-FFF2-40B4-BE49-F238E27FC236}">
              <a16:creationId xmlns:a16="http://schemas.microsoft.com/office/drawing/2014/main" id="{A5FE7B8D-4FD6-B7BA-26F7-85F745366D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347206" y="246530"/>
          <a:ext cx="907676" cy="4178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4C1C3D-6104-41B6-ADA5-5455DD50C02D}">
  <dimension ref="B1:R51"/>
  <sheetViews>
    <sheetView tabSelected="1" zoomScaleNormal="100" workbookViewId="0">
      <selection activeCell="C30" sqref="C30"/>
    </sheetView>
  </sheetViews>
  <sheetFormatPr defaultRowHeight="15" x14ac:dyDescent="0.25"/>
  <cols>
    <col min="2" max="2" width="11.5" customWidth="1"/>
    <col min="3" max="3" width="35.375" bestFit="1" customWidth="1"/>
    <col min="4" max="4" width="13.875" bestFit="1" customWidth="1"/>
    <col min="5" max="5" width="12.625" bestFit="1" customWidth="1"/>
    <col min="6" max="6" width="14.125" bestFit="1" customWidth="1"/>
    <col min="9" max="9" width="30" bestFit="1" customWidth="1"/>
    <col min="10" max="10" width="15.375" bestFit="1" customWidth="1"/>
    <col min="11" max="11" width="12.5" bestFit="1" customWidth="1"/>
    <col min="12" max="12" width="14.125" bestFit="1" customWidth="1"/>
    <col min="14" max="14" width="16.5" customWidth="1"/>
    <col min="15" max="15" width="41.25" bestFit="1" customWidth="1"/>
    <col min="16" max="17" width="13.375" bestFit="1" customWidth="1"/>
    <col min="18" max="18" width="14.125" bestFit="1" customWidth="1"/>
  </cols>
  <sheetData>
    <row r="1" spans="2:18" ht="15.75" thickBot="1" x14ac:dyDescent="0.3"/>
    <row r="2" spans="2:18" ht="21" x14ac:dyDescent="0.35">
      <c r="B2" s="10" t="s">
        <v>22</v>
      </c>
      <c r="C2" s="11"/>
      <c r="D2" s="11"/>
      <c r="E2" s="11"/>
      <c r="F2" s="12"/>
      <c r="H2" s="10" t="s">
        <v>23</v>
      </c>
      <c r="I2" s="11"/>
      <c r="J2" s="11"/>
      <c r="K2" s="11"/>
      <c r="L2" s="12"/>
      <c r="N2" s="10" t="s">
        <v>24</v>
      </c>
      <c r="O2" s="11"/>
      <c r="P2" s="11"/>
      <c r="Q2" s="11"/>
      <c r="R2" s="12"/>
    </row>
    <row r="3" spans="2:18" ht="21" x14ac:dyDescent="0.35">
      <c r="B3" s="13" t="s">
        <v>0</v>
      </c>
      <c r="C3" s="48"/>
      <c r="D3" s="48"/>
      <c r="E3" s="48"/>
      <c r="F3" s="14"/>
      <c r="H3" s="13" t="s">
        <v>9</v>
      </c>
      <c r="I3" s="48"/>
      <c r="J3" s="48"/>
      <c r="K3" s="48"/>
      <c r="L3" s="14"/>
      <c r="N3" s="13" t="s">
        <v>39</v>
      </c>
      <c r="O3" s="48"/>
      <c r="P3" s="48"/>
      <c r="Q3" s="48"/>
      <c r="R3" s="14"/>
    </row>
    <row r="4" spans="2:18" x14ac:dyDescent="0.25">
      <c r="B4" s="15"/>
      <c r="C4" s="48"/>
      <c r="D4" s="49" t="s">
        <v>18</v>
      </c>
      <c r="E4" s="49" t="s">
        <v>19</v>
      </c>
      <c r="F4" s="16" t="s">
        <v>20</v>
      </c>
      <c r="H4" s="15"/>
      <c r="I4" s="48"/>
      <c r="J4" s="49" t="s">
        <v>18</v>
      </c>
      <c r="K4" s="49" t="s">
        <v>19</v>
      </c>
      <c r="L4" s="16" t="s">
        <v>20</v>
      </c>
      <c r="N4" s="15"/>
      <c r="O4" s="48"/>
      <c r="P4" s="49" t="s">
        <v>18</v>
      </c>
      <c r="Q4" s="49" t="s">
        <v>19</v>
      </c>
      <c r="R4" s="16" t="s">
        <v>20</v>
      </c>
    </row>
    <row r="5" spans="2:18" x14ac:dyDescent="0.25">
      <c r="B5" s="15"/>
      <c r="C5" s="49" t="s">
        <v>1</v>
      </c>
      <c r="D5" s="50">
        <v>44713</v>
      </c>
      <c r="E5" s="50">
        <v>44713</v>
      </c>
      <c r="F5" s="17">
        <v>44713</v>
      </c>
      <c r="H5" s="15"/>
      <c r="I5" s="49" t="s">
        <v>1</v>
      </c>
      <c r="J5" s="50">
        <v>44713</v>
      </c>
      <c r="K5" s="50">
        <v>44713</v>
      </c>
      <c r="L5" s="17">
        <v>44713</v>
      </c>
      <c r="N5" s="15"/>
      <c r="O5" s="49" t="s">
        <v>1</v>
      </c>
      <c r="P5" s="50">
        <v>44713</v>
      </c>
      <c r="Q5" s="50">
        <v>44713</v>
      </c>
      <c r="R5" s="17">
        <v>44713</v>
      </c>
    </row>
    <row r="6" spans="2:18" x14ac:dyDescent="0.25">
      <c r="B6" s="15"/>
      <c r="C6" s="49" t="s">
        <v>5</v>
      </c>
      <c r="D6" s="50">
        <v>58225</v>
      </c>
      <c r="E6" s="50">
        <v>58225</v>
      </c>
      <c r="F6" s="17">
        <v>58225</v>
      </c>
      <c r="H6" s="15"/>
      <c r="I6" s="49" t="s">
        <v>5</v>
      </c>
      <c r="J6" s="50">
        <v>58225</v>
      </c>
      <c r="K6" s="50">
        <v>58225</v>
      </c>
      <c r="L6" s="17">
        <v>58225</v>
      </c>
      <c r="N6" s="15"/>
      <c r="O6" s="49" t="s">
        <v>5</v>
      </c>
      <c r="P6" s="50">
        <v>58225</v>
      </c>
      <c r="Q6" s="50">
        <v>58225</v>
      </c>
      <c r="R6" s="17">
        <v>58225</v>
      </c>
    </row>
    <row r="7" spans="2:18" x14ac:dyDescent="0.25">
      <c r="B7" s="15"/>
      <c r="C7" s="49" t="s">
        <v>3</v>
      </c>
      <c r="D7" s="51">
        <v>450</v>
      </c>
      <c r="E7" s="51">
        <v>450</v>
      </c>
      <c r="F7" s="18">
        <v>450</v>
      </c>
      <c r="H7" s="15"/>
      <c r="I7" s="49" t="s">
        <v>3</v>
      </c>
      <c r="J7" s="51">
        <v>450</v>
      </c>
      <c r="K7" s="51">
        <v>450</v>
      </c>
      <c r="L7" s="18">
        <v>450</v>
      </c>
      <c r="N7" s="15"/>
      <c r="O7" s="49" t="s">
        <v>3</v>
      </c>
      <c r="P7" s="51">
        <v>450</v>
      </c>
      <c r="Q7" s="51">
        <v>450</v>
      </c>
      <c r="R7" s="18">
        <v>450</v>
      </c>
    </row>
    <row r="8" spans="2:18" x14ac:dyDescent="0.25">
      <c r="B8" s="15"/>
      <c r="C8" s="49" t="s">
        <v>16</v>
      </c>
      <c r="D8" s="51">
        <f>D7*12</f>
        <v>5400</v>
      </c>
      <c r="E8" s="51">
        <f t="shared" ref="E8:F8" si="0">E7*12</f>
        <v>5400</v>
      </c>
      <c r="F8" s="18">
        <f t="shared" si="0"/>
        <v>5400</v>
      </c>
      <c r="H8" s="15"/>
      <c r="I8" s="49"/>
      <c r="J8" s="51"/>
      <c r="K8" s="51"/>
      <c r="L8" s="18"/>
      <c r="N8" s="15"/>
      <c r="O8" s="49" t="s">
        <v>27</v>
      </c>
      <c r="P8" s="59">
        <v>37</v>
      </c>
      <c r="Q8" s="59">
        <v>37</v>
      </c>
      <c r="R8" s="60">
        <v>37</v>
      </c>
    </row>
    <row r="9" spans="2:18" x14ac:dyDescent="0.25">
      <c r="B9" s="15"/>
      <c r="C9" s="49" t="s">
        <v>2</v>
      </c>
      <c r="D9" s="48">
        <v>37</v>
      </c>
      <c r="E9" s="48">
        <v>37</v>
      </c>
      <c r="F9" s="14">
        <v>37</v>
      </c>
      <c r="H9" s="15"/>
      <c r="I9" s="49" t="s">
        <v>2</v>
      </c>
      <c r="J9" s="48">
        <v>37</v>
      </c>
      <c r="K9" s="48">
        <v>37</v>
      </c>
      <c r="L9" s="14">
        <v>37</v>
      </c>
      <c r="N9" s="15"/>
      <c r="O9" s="49" t="s">
        <v>25</v>
      </c>
      <c r="P9" s="48">
        <v>3</v>
      </c>
      <c r="Q9" s="48">
        <v>3</v>
      </c>
      <c r="R9" s="14">
        <v>3</v>
      </c>
    </row>
    <row r="10" spans="2:18" x14ac:dyDescent="0.25">
      <c r="B10" s="15"/>
      <c r="C10" s="49" t="s">
        <v>7</v>
      </c>
      <c r="D10" s="48">
        <f>D9*12</f>
        <v>444</v>
      </c>
      <c r="E10" s="48">
        <f t="shared" ref="E10:F10" si="1">E9*12</f>
        <v>444</v>
      </c>
      <c r="F10" s="14">
        <f t="shared" si="1"/>
        <v>444</v>
      </c>
      <c r="H10" s="15"/>
      <c r="I10" s="49" t="s">
        <v>7</v>
      </c>
      <c r="J10" s="48">
        <f>J9*12</f>
        <v>444</v>
      </c>
      <c r="K10" s="48">
        <f t="shared" ref="K10:L10" si="2">K9*12</f>
        <v>444</v>
      </c>
      <c r="L10" s="14">
        <f t="shared" si="2"/>
        <v>444</v>
      </c>
      <c r="N10" s="15"/>
      <c r="O10" s="49" t="s">
        <v>26</v>
      </c>
      <c r="P10" s="59">
        <f>P8-P9</f>
        <v>34</v>
      </c>
      <c r="Q10" s="59">
        <f t="shared" ref="Q10:R10" si="3">Q8-Q9</f>
        <v>34</v>
      </c>
      <c r="R10" s="60">
        <f t="shared" si="3"/>
        <v>34</v>
      </c>
    </row>
    <row r="11" spans="2:18" x14ac:dyDescent="0.25">
      <c r="B11" s="15"/>
      <c r="C11" s="49" t="s">
        <v>4</v>
      </c>
      <c r="D11" s="52">
        <v>0.03</v>
      </c>
      <c r="E11" s="52">
        <v>0.06</v>
      </c>
      <c r="F11" s="19">
        <v>0.09</v>
      </c>
      <c r="H11" s="15"/>
      <c r="I11" s="49" t="s">
        <v>4</v>
      </c>
      <c r="J11" s="52">
        <v>0.03</v>
      </c>
      <c r="K11" s="52">
        <v>0.06</v>
      </c>
      <c r="L11" s="19">
        <v>0.09</v>
      </c>
      <c r="N11" s="15"/>
      <c r="O11" s="49" t="s">
        <v>28</v>
      </c>
      <c r="P11" s="48">
        <f>P8*12</f>
        <v>444</v>
      </c>
      <c r="Q11" s="48">
        <f t="shared" ref="Q11:R11" si="4">Q8*12</f>
        <v>444</v>
      </c>
      <c r="R11" s="14">
        <f t="shared" si="4"/>
        <v>444</v>
      </c>
    </row>
    <row r="12" spans="2:18" x14ac:dyDescent="0.25">
      <c r="B12" s="15"/>
      <c r="C12" s="49" t="s">
        <v>29</v>
      </c>
      <c r="D12" s="53">
        <v>2E-3</v>
      </c>
      <c r="E12" s="53">
        <v>2E-3</v>
      </c>
      <c r="F12" s="20">
        <v>2E-3</v>
      </c>
      <c r="H12" s="15"/>
      <c r="I12" s="49" t="s">
        <v>29</v>
      </c>
      <c r="J12" s="53">
        <v>2E-3</v>
      </c>
      <c r="K12" s="53">
        <v>2E-3</v>
      </c>
      <c r="L12" s="20">
        <v>2E-3</v>
      </c>
      <c r="N12" s="15"/>
      <c r="O12" s="49" t="s">
        <v>4</v>
      </c>
      <c r="P12" s="52">
        <v>0.03</v>
      </c>
      <c r="Q12" s="52">
        <v>0.06</v>
      </c>
      <c r="R12" s="19">
        <v>0.09</v>
      </c>
    </row>
    <row r="13" spans="2:18" x14ac:dyDescent="0.25">
      <c r="B13" s="15"/>
      <c r="C13" s="49" t="s">
        <v>30</v>
      </c>
      <c r="D13" s="53">
        <v>2E-3</v>
      </c>
      <c r="E13" s="53">
        <v>2E-3</v>
      </c>
      <c r="F13" s="20">
        <v>2E-3</v>
      </c>
      <c r="H13" s="15"/>
      <c r="I13" s="49" t="s">
        <v>37</v>
      </c>
      <c r="J13" s="38">
        <f>J11-J12</f>
        <v>2.7999999999999997E-2</v>
      </c>
      <c r="K13" s="38">
        <f>K11-K12</f>
        <v>5.7999999999999996E-2</v>
      </c>
      <c r="L13" s="39">
        <f>L11-L12</f>
        <v>8.7999999999999995E-2</v>
      </c>
      <c r="N13" s="15"/>
      <c r="O13" s="49" t="s">
        <v>17</v>
      </c>
      <c r="P13" s="53">
        <v>2E-3</v>
      </c>
      <c r="Q13" s="53">
        <v>2E-3</v>
      </c>
      <c r="R13" s="20">
        <v>2E-3</v>
      </c>
    </row>
    <row r="14" spans="2:18" x14ac:dyDescent="0.25">
      <c r="B14" s="15"/>
      <c r="C14" s="49" t="s">
        <v>48</v>
      </c>
      <c r="D14" s="54">
        <v>379.8</v>
      </c>
      <c r="E14" s="54">
        <v>379.8</v>
      </c>
      <c r="F14" s="27">
        <v>379.8</v>
      </c>
      <c r="H14" s="15"/>
      <c r="I14" s="55" t="s">
        <v>36</v>
      </c>
      <c r="J14" s="47">
        <f>J13/12</f>
        <v>2.3333333333333331E-3</v>
      </c>
      <c r="K14" s="47">
        <f t="shared" ref="K14:L14" si="5">K13/12</f>
        <v>4.8333333333333327E-3</v>
      </c>
      <c r="L14" s="39">
        <f t="shared" si="5"/>
        <v>7.3333333333333332E-3</v>
      </c>
      <c r="N14" s="15"/>
      <c r="O14" s="49" t="s">
        <v>31</v>
      </c>
      <c r="P14" s="58">
        <v>3.3000000000000002E-2</v>
      </c>
      <c r="Q14" s="58">
        <v>3.3000000000000002E-2</v>
      </c>
      <c r="R14" s="35">
        <v>3.3000000000000002E-2</v>
      </c>
    </row>
    <row r="15" spans="2:18" x14ac:dyDescent="0.25">
      <c r="B15" s="15"/>
      <c r="C15" s="49" t="s">
        <v>49</v>
      </c>
      <c r="D15" s="58">
        <f>0.2/1000</f>
        <v>2.0000000000000001E-4</v>
      </c>
      <c r="E15" s="58">
        <f t="shared" ref="E15:F15" si="6">0.2/1000</f>
        <v>2.0000000000000001E-4</v>
      </c>
      <c r="F15" s="35">
        <f t="shared" si="6"/>
        <v>2.0000000000000001E-4</v>
      </c>
      <c r="H15" s="15"/>
      <c r="I15" s="55"/>
      <c r="J15" s="47"/>
      <c r="K15" s="47"/>
      <c r="L15" s="39"/>
      <c r="N15" s="15"/>
      <c r="O15" s="49"/>
      <c r="P15" s="58"/>
      <c r="Q15" s="58"/>
      <c r="R15" s="35"/>
    </row>
    <row r="16" spans="2:18" x14ac:dyDescent="0.25">
      <c r="B16" s="15"/>
      <c r="C16" s="48"/>
      <c r="D16" s="48"/>
      <c r="E16" s="48"/>
      <c r="F16" s="14"/>
      <c r="H16" s="15"/>
      <c r="I16" s="43" t="s">
        <v>13</v>
      </c>
      <c r="J16" s="44">
        <f xml:space="preserve"> J7*((1+J11/12)^(12*J9) -1) / (J11/12) - J7 * ((1+(J11-J12)/12)^(12*J9)-1) / ((J11-J12)/12)</f>
        <v>15484.519184931472</v>
      </c>
      <c r="K16" s="44">
        <f xml:space="preserve"> K7*((1+K11/12)^(12*K9) -1) / (K11/12) - K7 * ((1+(K11-K12)/12)^(12*K9)-1) / ((K11-K12)/12)</f>
        <v>35207.682842924958</v>
      </c>
      <c r="L16" s="45">
        <f xml:space="preserve"> L7*((1+L11/12)^(12*L9) -1) / (L11/12) - L7 * ((1+(L11-L12)/12)^(12*L9)-1) / ((L11-L12)/12)</f>
        <v>83654.535327569116</v>
      </c>
      <c r="N16" s="15"/>
      <c r="O16" s="49"/>
      <c r="P16" s="58"/>
      <c r="Q16" s="58"/>
      <c r="R16" s="35"/>
    </row>
    <row r="17" spans="2:18" x14ac:dyDescent="0.25">
      <c r="B17" s="15"/>
      <c r="C17" s="49" t="s">
        <v>6</v>
      </c>
      <c r="D17" s="21">
        <f>D7*D10</f>
        <v>199800</v>
      </c>
      <c r="E17" s="21">
        <f t="shared" ref="E17:F17" si="7">E7*E10</f>
        <v>199800</v>
      </c>
      <c r="F17" s="22">
        <f t="shared" si="7"/>
        <v>199800</v>
      </c>
      <c r="H17" s="15"/>
      <c r="I17" s="56" t="s">
        <v>42</v>
      </c>
      <c r="J17" s="21">
        <f>J7*((1+J14)^J10-1)/J14</f>
        <v>349943.94524830597</v>
      </c>
      <c r="K17" s="21">
        <f>(1+K14)^K10+K7*((1+K14)^Q27 -1)/K14</f>
        <v>572686.1036892134</v>
      </c>
      <c r="L17" s="22">
        <f>(1+L14)^L10+L7*((1+L14)^R27 -1)/L14</f>
        <v>1148086.7287946583</v>
      </c>
      <c r="N17" s="15"/>
      <c r="O17" s="49" t="s">
        <v>32</v>
      </c>
      <c r="P17" s="8">
        <f>P7*36</f>
        <v>16200</v>
      </c>
      <c r="Q17" s="8">
        <f>Q7*36</f>
        <v>16200</v>
      </c>
      <c r="R17" s="24">
        <f>R7*36</f>
        <v>16200</v>
      </c>
    </row>
    <row r="18" spans="2:18" ht="32.25" customHeight="1" x14ac:dyDescent="0.25">
      <c r="B18" s="23"/>
      <c r="C18" s="55" t="s">
        <v>10</v>
      </c>
      <c r="D18" s="8">
        <f>0.0233*D17</f>
        <v>4655.34</v>
      </c>
      <c r="E18" s="8">
        <f t="shared" ref="E18:F18" si="8">0.0233*E17</f>
        <v>4655.34</v>
      </c>
      <c r="F18" s="24">
        <f t="shared" si="8"/>
        <v>4655.34</v>
      </c>
      <c r="H18" s="15"/>
      <c r="I18" s="56" t="s">
        <v>41</v>
      </c>
      <c r="J18" s="21">
        <f>J17-J7*J10</f>
        <v>150143.94524830597</v>
      </c>
      <c r="K18" s="21">
        <f>K17-K13</f>
        <v>572686.04568921344</v>
      </c>
      <c r="L18" s="22">
        <f>L17-L13</f>
        <v>1148086.6407946583</v>
      </c>
      <c r="N18" s="15"/>
      <c r="O18" s="55" t="s">
        <v>46</v>
      </c>
      <c r="P18" s="8">
        <f>1135.92*3</f>
        <v>3407.76</v>
      </c>
      <c r="Q18" s="8">
        <f t="shared" ref="Q18:R18" si="9">1135.92*3</f>
        <v>3407.76</v>
      </c>
      <c r="R18" s="24">
        <f t="shared" si="9"/>
        <v>3407.76</v>
      </c>
    </row>
    <row r="19" spans="2:18" ht="30" x14ac:dyDescent="0.25">
      <c r="B19" s="23"/>
      <c r="C19" s="55" t="s">
        <v>47</v>
      </c>
      <c r="D19" s="25" t="s">
        <v>40</v>
      </c>
      <c r="E19" s="25" t="s">
        <v>40</v>
      </c>
      <c r="F19" s="26" t="s">
        <v>40</v>
      </c>
      <c r="H19" s="15"/>
      <c r="I19" s="56" t="s">
        <v>21</v>
      </c>
      <c r="J19" s="21">
        <f>J18*0.7</f>
        <v>105100.76167381418</v>
      </c>
      <c r="K19" s="21">
        <f t="shared" ref="K19:L19" si="10">K18*0.7</f>
        <v>400880.23198244936</v>
      </c>
      <c r="L19" s="22">
        <f t="shared" si="10"/>
        <v>803660.64855626074</v>
      </c>
      <c r="N19" s="15"/>
      <c r="O19" s="55" t="s">
        <v>45</v>
      </c>
      <c r="P19" s="8">
        <f>185.54+196.98+211.15</f>
        <v>593.66999999999996</v>
      </c>
      <c r="Q19" s="8">
        <f t="shared" ref="Q19:R19" si="11">185.54+196.98+211.15</f>
        <v>593.66999999999996</v>
      </c>
      <c r="R19" s="24">
        <f t="shared" si="11"/>
        <v>593.66999999999996</v>
      </c>
    </row>
    <row r="20" spans="2:18" ht="15.75" thickBot="1" x14ac:dyDescent="0.3">
      <c r="B20" s="23"/>
      <c r="C20" s="43" t="s">
        <v>13</v>
      </c>
      <c r="D20" s="33">
        <v>0</v>
      </c>
      <c r="E20" s="33">
        <v>0</v>
      </c>
      <c r="F20" s="36">
        <v>0</v>
      </c>
      <c r="H20" s="15"/>
      <c r="I20" s="2" t="s">
        <v>12</v>
      </c>
      <c r="J20" s="3">
        <f>J19*0.26375</f>
        <v>27720.325891468488</v>
      </c>
      <c r="K20" s="3">
        <f t="shared" ref="K20:L20" si="12">K19*0.26375</f>
        <v>105732.16118537101</v>
      </c>
      <c r="L20" s="46">
        <f t="shared" si="12"/>
        <v>211965.49605671375</v>
      </c>
      <c r="N20" s="15"/>
      <c r="O20" s="55" t="s">
        <v>33</v>
      </c>
      <c r="P20" s="8">
        <f>163.48+1492.17+781.49+18.8</f>
        <v>2455.9400000000005</v>
      </c>
      <c r="Q20" s="8">
        <f t="shared" ref="Q20:R20" si="13">163.48+1492.17+781.49+18.8</f>
        <v>2455.9400000000005</v>
      </c>
      <c r="R20" s="24">
        <f t="shared" si="13"/>
        <v>2455.9400000000005</v>
      </c>
    </row>
    <row r="21" spans="2:18" ht="16.5" thickTop="1" thickBot="1" x14ac:dyDescent="0.3">
      <c r="B21" s="15"/>
      <c r="C21" s="56" t="s">
        <v>43</v>
      </c>
      <c r="D21" s="21">
        <v>308458</v>
      </c>
      <c r="E21" s="21">
        <v>589301</v>
      </c>
      <c r="F21" s="22">
        <v>1189176</v>
      </c>
      <c r="H21" s="15"/>
      <c r="I21" s="49" t="s">
        <v>8</v>
      </c>
      <c r="J21" s="57">
        <f>J17-J20</f>
        <v>322223.61935683747</v>
      </c>
      <c r="K21" s="57">
        <f t="shared" ref="K21:L21" si="14">K17-K20</f>
        <v>466953.94250384241</v>
      </c>
      <c r="L21" s="29">
        <f t="shared" si="14"/>
        <v>936121.23273794458</v>
      </c>
      <c r="N21" s="15"/>
      <c r="O21" s="2" t="s">
        <v>44</v>
      </c>
      <c r="P21" s="34">
        <f>P17+P20-SUM(P18:P19)</f>
        <v>14654.510000000002</v>
      </c>
      <c r="Q21" s="34">
        <f>Q17+Q20-SUM(Q18:Q19)</f>
        <v>14654.510000000002</v>
      </c>
      <c r="R21" s="37">
        <f>R17+R20-SUM(R18:R19)</f>
        <v>14654.510000000002</v>
      </c>
    </row>
    <row r="22" spans="2:18" ht="15.75" thickTop="1" x14ac:dyDescent="0.25">
      <c r="B22" s="23"/>
      <c r="C22" s="56" t="s">
        <v>41</v>
      </c>
      <c r="D22" s="21">
        <f>D21-D17</f>
        <v>108658</v>
      </c>
      <c r="E22" s="21">
        <f>E21-E17</f>
        <v>389501</v>
      </c>
      <c r="F22" s="22">
        <f>F21-F17</f>
        <v>989376</v>
      </c>
      <c r="H22" s="15"/>
      <c r="I22" s="49" t="s">
        <v>15</v>
      </c>
      <c r="J22" s="57">
        <f>J18-J20</f>
        <v>122423.61935683749</v>
      </c>
      <c r="K22" s="57">
        <f t="shared" ref="K22:L22" si="15">K18-K20</f>
        <v>466953.88450384245</v>
      </c>
      <c r="L22" s="29">
        <f t="shared" si="15"/>
        <v>936121.14473794459</v>
      </c>
      <c r="N22" s="15"/>
      <c r="O22" s="56" t="s">
        <v>34</v>
      </c>
      <c r="P22" s="8">
        <f>P21-P17</f>
        <v>-1545.489999999998</v>
      </c>
      <c r="Q22" s="8">
        <f>Q21-Q17</f>
        <v>-1545.489999999998</v>
      </c>
      <c r="R22" s="24">
        <f>R21-R17</f>
        <v>-1545.489999999998</v>
      </c>
    </row>
    <row r="23" spans="2:18" x14ac:dyDescent="0.25">
      <c r="B23" s="23"/>
      <c r="C23" s="56" t="s">
        <v>11</v>
      </c>
      <c r="D23" s="54">
        <f>D22/2</f>
        <v>54329</v>
      </c>
      <c r="E23" s="54">
        <f t="shared" ref="E23:F23" si="16">E22/2</f>
        <v>194750.5</v>
      </c>
      <c r="F23" s="27">
        <f t="shared" si="16"/>
        <v>494688</v>
      </c>
      <c r="H23" s="15"/>
      <c r="I23" s="48"/>
      <c r="J23" s="48"/>
      <c r="K23" s="48"/>
      <c r="L23" s="14"/>
      <c r="N23" s="15"/>
      <c r="O23" s="48"/>
      <c r="P23" s="48"/>
      <c r="Q23" s="48"/>
      <c r="R23" s="14"/>
    </row>
    <row r="24" spans="2:18" ht="15.75" thickBot="1" x14ac:dyDescent="0.3">
      <c r="B24" s="23"/>
      <c r="C24" s="2" t="s">
        <v>12</v>
      </c>
      <c r="D24" s="1">
        <f>D23*0.26375</f>
        <v>14329.273749999998</v>
      </c>
      <c r="E24" s="1">
        <f t="shared" ref="E24:F24" si="17">E23*0.26375</f>
        <v>51365.444374999999</v>
      </c>
      <c r="F24" s="28">
        <f t="shared" si="17"/>
        <v>130473.95999999999</v>
      </c>
      <c r="H24" s="30"/>
      <c r="I24" s="31"/>
      <c r="J24" s="31"/>
      <c r="K24" s="31"/>
      <c r="L24" s="32"/>
      <c r="N24" s="15"/>
      <c r="O24" s="49" t="s">
        <v>35</v>
      </c>
      <c r="P24" s="54">
        <f>P21</f>
        <v>14654.510000000002</v>
      </c>
      <c r="Q24" s="54">
        <f t="shared" ref="Q24:R24" si="18">Q21</f>
        <v>14654.510000000002</v>
      </c>
      <c r="R24" s="27">
        <f t="shared" si="18"/>
        <v>14654.510000000002</v>
      </c>
    </row>
    <row r="25" spans="2:18" ht="15.75" thickTop="1" x14ac:dyDescent="0.25">
      <c r="B25" s="23"/>
      <c r="C25" s="49" t="s">
        <v>14</v>
      </c>
      <c r="D25" s="57">
        <f>D21-D24</f>
        <v>294128.72625000001</v>
      </c>
      <c r="E25" s="57">
        <f t="shared" ref="E25:F25" si="19">E21-E24</f>
        <v>537935.55562500004</v>
      </c>
      <c r="F25" s="29">
        <f t="shared" si="19"/>
        <v>1058702.04</v>
      </c>
      <c r="N25" s="15"/>
      <c r="O25" s="49" t="s">
        <v>37</v>
      </c>
      <c r="P25" s="38">
        <f>P12-P13</f>
        <v>2.7999999999999997E-2</v>
      </c>
      <c r="Q25" s="38">
        <f>Q12-Q13</f>
        <v>5.7999999999999996E-2</v>
      </c>
      <c r="R25" s="39">
        <f>R12-R13</f>
        <v>8.7999999999999995E-2</v>
      </c>
    </row>
    <row r="26" spans="2:18" x14ac:dyDescent="0.25">
      <c r="B26" s="23"/>
      <c r="C26" s="49" t="s">
        <v>15</v>
      </c>
      <c r="D26" s="57">
        <f>D22-D24</f>
        <v>94328.726250000007</v>
      </c>
      <c r="E26" s="57">
        <f t="shared" ref="E26:F26" si="20">E22-E24</f>
        <v>338135.55562499998</v>
      </c>
      <c r="F26" s="29">
        <f t="shared" si="20"/>
        <v>858902.04</v>
      </c>
      <c r="N26" s="15"/>
      <c r="O26" s="49" t="s">
        <v>36</v>
      </c>
      <c r="P26" s="38">
        <f>P25/12</f>
        <v>2.3333333333333331E-3</v>
      </c>
      <c r="Q26" s="38">
        <f t="shared" ref="Q26:R26" si="21">Q25/12</f>
        <v>4.8333333333333327E-3</v>
      </c>
      <c r="R26" s="39">
        <f t="shared" si="21"/>
        <v>7.3333333333333332E-3</v>
      </c>
    </row>
    <row r="27" spans="2:18" x14ac:dyDescent="0.25">
      <c r="B27" s="15"/>
      <c r="C27" s="49"/>
      <c r="D27" s="48"/>
      <c r="E27" s="48"/>
      <c r="F27" s="14"/>
      <c r="N27" s="15"/>
      <c r="O27" s="49" t="s">
        <v>38</v>
      </c>
      <c r="P27" s="48">
        <f>12*34</f>
        <v>408</v>
      </c>
      <c r="Q27" s="48">
        <f t="shared" ref="Q27:R27" si="22">12*34</f>
        <v>408</v>
      </c>
      <c r="R27" s="14">
        <f t="shared" si="22"/>
        <v>408</v>
      </c>
    </row>
    <row r="28" spans="2:18" ht="15.75" thickBot="1" x14ac:dyDescent="0.3">
      <c r="B28" s="30"/>
      <c r="C28" s="31"/>
      <c r="D28" s="31"/>
      <c r="E28" s="31"/>
      <c r="F28" s="32"/>
      <c r="N28" s="15"/>
      <c r="O28" s="56" t="s">
        <v>42</v>
      </c>
      <c r="P28" s="54">
        <f>P24*(1+P26)^P27+P7*((1+P26)^P27 -1)/P26</f>
        <v>344186.06587529642</v>
      </c>
      <c r="Q28" s="54">
        <f>Q24*(1+Q26)^Q27+Q7*((1+Q26)^Q27 -1)/Q26</f>
        <v>677471.72854893573</v>
      </c>
      <c r="R28" s="27">
        <f>R24*(1+R26)^R27+R7*((1+R26)^R27 -1)/R26</f>
        <v>1436888.932874969</v>
      </c>
    </row>
    <row r="29" spans="2:18" x14ac:dyDescent="0.25">
      <c r="J29" s="5"/>
      <c r="N29" s="15"/>
      <c r="O29" s="56" t="s">
        <v>41</v>
      </c>
      <c r="P29" s="54">
        <f>P28-P7*P11</f>
        <v>144386.06587529642</v>
      </c>
      <c r="Q29" s="54">
        <f>Q28-Q7*Q11</f>
        <v>477671.72854893573</v>
      </c>
      <c r="R29" s="27">
        <f>R28-R7*R11</f>
        <v>1237088.932874969</v>
      </c>
    </row>
    <row r="30" spans="2:18" ht="30" x14ac:dyDescent="0.25">
      <c r="N30" s="15"/>
      <c r="O30" s="55" t="s">
        <v>21</v>
      </c>
      <c r="P30" s="54">
        <f>P29*0.7</f>
        <v>101070.24611270749</v>
      </c>
      <c r="Q30" s="54">
        <f t="shared" ref="Q30:R30" si="23">Q29*0.7</f>
        <v>334370.20998425497</v>
      </c>
      <c r="R30" s="27">
        <f t="shared" si="23"/>
        <v>865962.25301247824</v>
      </c>
    </row>
    <row r="31" spans="2:18" ht="15.75" thickBot="1" x14ac:dyDescent="0.3">
      <c r="J31" s="7"/>
      <c r="N31" s="15"/>
      <c r="O31" s="2" t="s">
        <v>12</v>
      </c>
      <c r="P31" s="1">
        <f>P30*0.26375</f>
        <v>26657.277412226598</v>
      </c>
      <c r="Q31" s="1">
        <f t="shared" ref="Q31:R31" si="24">Q30*0.26375</f>
        <v>88190.142883347246</v>
      </c>
      <c r="R31" s="28">
        <f t="shared" si="24"/>
        <v>228397.54423204111</v>
      </c>
    </row>
    <row r="32" spans="2:18" ht="15.75" thickTop="1" x14ac:dyDescent="0.25">
      <c r="N32" s="15"/>
      <c r="O32" s="49" t="s">
        <v>8</v>
      </c>
      <c r="P32" s="57">
        <f>P28-P31</f>
        <v>317528.78846306982</v>
      </c>
      <c r="Q32" s="57">
        <f t="shared" ref="Q32:R32" si="25">Q28-Q31</f>
        <v>589281.5856655885</v>
      </c>
      <c r="R32" s="29">
        <f t="shared" si="25"/>
        <v>1208491.3886429279</v>
      </c>
    </row>
    <row r="33" spans="3:18" ht="15.75" thickBot="1" x14ac:dyDescent="0.3">
      <c r="F33" s="9"/>
      <c r="N33" s="30"/>
      <c r="O33" s="40" t="s">
        <v>15</v>
      </c>
      <c r="P33" s="41">
        <f>P29-P31</f>
        <v>117728.78846306982</v>
      </c>
      <c r="Q33" s="41">
        <f t="shared" ref="Q33:R33" si="26">Q29-Q31</f>
        <v>389481.5856655885</v>
      </c>
      <c r="R33" s="42">
        <f t="shared" si="26"/>
        <v>1008691.3886429279</v>
      </c>
    </row>
    <row r="35" spans="3:18" x14ac:dyDescent="0.25">
      <c r="C35" s="4"/>
    </row>
    <row r="41" spans="3:18" x14ac:dyDescent="0.25">
      <c r="J41" s="6"/>
      <c r="K41" s="6"/>
      <c r="L41" s="6"/>
    </row>
    <row r="51" spans="3:3" x14ac:dyDescent="0.25">
      <c r="C51" s="4"/>
    </row>
  </sheetData>
  <pageMargins left="0.7" right="0.7" top="0.75" bottom="0.75" header="0.3" footer="0.3"/>
  <pageSetup orientation="portrait" r:id="rId1"/>
  <drawing r:id="rId2"/>
</worksheet>
</file>

<file path=docMetadata/LabelInfo.xml><?xml version="1.0" encoding="utf-8"?>
<clbl:labelList xmlns:clbl="http://schemas.microsoft.com/office/2020/mipLabelMetadata">
  <clbl:label id="{ea60d57e-af5b-4752-ac57-3e4f28ca11dc}" enabled="1" method="Standard" siteId="{36da45f1-dd2c-4d1f-af13-5abe46b99921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Provinzial &amp; ETF</vt:lpstr>
    </vt:vector>
  </TitlesOfParts>
  <Company>Deloitte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Altinok, Semir</dc:creator>
  <cp:lastModifiedBy>Altinok, Semir</cp:lastModifiedBy>
  <dcterms:created xsi:type="dcterms:W3CDTF">2025-09-04T07:52:26Z</dcterms:created>
  <dcterms:modified xsi:type="dcterms:W3CDTF">2025-09-09T22:11:55Z</dcterms:modified>
</cp:coreProperties>
</file>