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Eigene Dateien\Finanzen\"/>
    </mc:Choice>
  </mc:AlternateContent>
  <xr:revisionPtr revIDLastSave="0" documentId="13_ncr:1_{4F928B25-DD38-4146-9589-833C921EE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neu" sheetId="3" r:id="rId1"/>
    <sheet name="Tabellenblat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43" i="3"/>
  <c r="D24" i="3"/>
  <c r="B46" i="3"/>
  <c r="B45" i="3"/>
  <c r="D36" i="3" s="1"/>
  <c r="D39" i="3"/>
  <c r="D29" i="3" l="1"/>
  <c r="D10" i="3"/>
  <c r="E9" i="3"/>
  <c r="D9" i="3"/>
  <c r="E8" i="3"/>
  <c r="D8" i="3"/>
  <c r="E7" i="3"/>
  <c r="D7" i="3"/>
  <c r="E6" i="3"/>
  <c r="D6" i="3"/>
  <c r="E5" i="3"/>
  <c r="D20" i="3" s="1"/>
  <c r="D5" i="3"/>
  <c r="D19" i="3" s="1"/>
  <c r="D17" i="3"/>
  <c r="B27" i="2"/>
  <c r="B26" i="2"/>
  <c r="B25" i="2"/>
  <c r="B24" i="2"/>
  <c r="B28" i="2" s="1"/>
  <c r="B29" i="2" s="1"/>
  <c r="B21" i="2"/>
  <c r="D22" i="3" l="1"/>
  <c r="D21" i="3"/>
  <c r="D23" i="3"/>
  <c r="D11" i="3"/>
  <c r="D12" i="3" s="1"/>
  <c r="B37" i="2"/>
  <c r="B35" i="2"/>
  <c r="B34" i="2"/>
  <c r="B33" i="2"/>
  <c r="B32" i="2"/>
  <c r="B36" i="2" s="1"/>
  <c r="B31" i="2"/>
  <c r="B30" i="2"/>
  <c r="D26" i="3" l="1"/>
  <c r="D31" i="3" s="1"/>
  <c r="D37" i="3"/>
  <c r="D32" i="3" l="1"/>
  <c r="D38" i="3"/>
  <c r="D40" i="3" l="1"/>
  <c r="D41" i="3" l="1"/>
</calcChain>
</file>

<file path=xl/sharedStrings.xml><?xml version="1.0" encoding="utf-8"?>
<sst xmlns="http://schemas.openxmlformats.org/spreadsheetml/2006/main" count="80" uniqueCount="79">
  <si>
    <t>Jahresbruttoentgelt</t>
  </si>
  <si>
    <t>Arbeitnehmer</t>
  </si>
  <si>
    <t>Arbeitgeber</t>
  </si>
  <si>
    <t xml:space="preserve">Rentenversicherung </t>
  </si>
  <si>
    <t xml:space="preserve">Arbeitslosenversicherung </t>
  </si>
  <si>
    <t xml:space="preserve">Krankenversicherung </t>
  </si>
  <si>
    <t xml:space="preserve">  Zusatzbeitrag </t>
  </si>
  <si>
    <t xml:space="preserve">Pflegeversicherung </t>
  </si>
  <si>
    <t xml:space="preserve">  Zuschlag</t>
  </si>
  <si>
    <t>Summe Sozialabgaben</t>
  </si>
  <si>
    <t>Gesamtbetrag der Einkünfte</t>
  </si>
  <si>
    <t>a) bis 12.348 € (Grundfreibetrag)</t>
  </si>
  <si>
    <t>b) 12.349 € bis 17.799 €</t>
  </si>
  <si>
    <t>c) 17.800 € bis 69.878 €</t>
  </si>
  <si>
    <t>d) 69.879 € bis 277.825 €</t>
  </si>
  <si>
    <t>e) ab 277.826 €</t>
  </si>
  <si>
    <t>Einkommensteuer</t>
  </si>
  <si>
    <t>Jahresnettoentgelt</t>
  </si>
  <si>
    <t>y</t>
  </si>
  <si>
    <t>z</t>
  </si>
  <si>
    <t>Bruttogehalt</t>
  </si>
  <si>
    <t>Steuerklasse</t>
  </si>
  <si>
    <t>Kinder</t>
  </si>
  <si>
    <t>Grundfreibetrag</t>
  </si>
  <si>
    <t>RV Beitragssatz (%)</t>
  </si>
  <si>
    <t>RV Bemessungsgrenze</t>
  </si>
  <si>
    <t>ALV Beitragssatz (%)</t>
  </si>
  <si>
    <t>ALV Bemessungsgrenze</t>
  </si>
  <si>
    <t>KV Beitragssatz (%)</t>
  </si>
  <si>
    <t>KV Zusatzbeitrag (%)</t>
  </si>
  <si>
    <t>KV/PV Bemessungsgrenze</t>
  </si>
  <si>
    <t>PV Beitragssatz (%)</t>
  </si>
  <si>
    <t>Kinderlosenzuschlag (%)</t>
  </si>
  <si>
    <t>Zone b Koeffizient a</t>
  </si>
  <si>
    <t>Zone b Koeffizient b</t>
  </si>
  <si>
    <t>Zone c Koeffizient a</t>
  </si>
  <si>
    <t>Zone c Koeffizient b</t>
  </si>
  <si>
    <t>Zone c Koeffizient c</t>
  </si>
  <si>
    <t>Zone d Steuersatz</t>
  </si>
  <si>
    <t>Zone d Startgrenze</t>
  </si>
  <si>
    <t>Zone d Offset</t>
  </si>
  <si>
    <t>Zone e Steuersatz</t>
  </si>
  <si>
    <t>Zone e Offset</t>
  </si>
  <si>
    <t>Rentenversicherung</t>
  </si>
  <si>
    <t>Arbeitslosenversicherung</t>
  </si>
  <si>
    <t>Krankenversicherung</t>
  </si>
  <si>
    <t>Pflegeversicherung</t>
  </si>
  <si>
    <t>Zu versteuerndes Einkommen (zvE)</t>
  </si>
  <si>
    <t>Hilfsvariable y (Zone b)</t>
  </si>
  <si>
    <t>Hilfsvariable z (Zone c)</t>
  </si>
  <si>
    <t>ESt Zone b</t>
  </si>
  <si>
    <t>ESt Zone c</t>
  </si>
  <si>
    <t>ESt Zone d</t>
  </si>
  <si>
    <t>ESt Zone e</t>
  </si>
  <si>
    <t>Gesamte Einkommensteuer</t>
  </si>
  <si>
    <t>Netto</t>
  </si>
  <si>
    <t>Bruttoarbeitslohn</t>
  </si>
  <si>
    <t>./. Werbungskostenpauschale</t>
  </si>
  <si>
    <t>Einkünfte aus Arbeit</t>
  </si>
  <si>
    <t>./. Beschränkt abziehbare Sonderausgaben</t>
  </si>
  <si>
    <t>Beiträge zur RV</t>
  </si>
  <si>
    <t>Beiträge zur KV</t>
  </si>
  <si>
    <t>abzgl. Kürzungsbetrag</t>
  </si>
  <si>
    <t>Beiträge zur PV</t>
  </si>
  <si>
    <t>abzgl. steuerfreie AG-erstattungen</t>
  </si>
  <si>
    <t>Sonderausgabenpauschale</t>
  </si>
  <si>
    <t>./. Unbeschränkt abziehbare Sonderausgaben</t>
  </si>
  <si>
    <t>Soli</t>
  </si>
  <si>
    <t>abzgl. AG-Anteil RV</t>
  </si>
  <si>
    <t>Quelle: https://www.bmf-steuerrechner.de/ (Ermittlung des zu versteuernden Jahresbetrags 2026)</t>
  </si>
  <si>
    <t>Beiträge zur AV</t>
  </si>
  <si>
    <t>Höchstbetrag von 1.900 € für sonstigen Vorsorgeaufwendungen bereits durch KV und PV ausgeschöpft</t>
  </si>
  <si>
    <t>https://www.bmf-steuerrechner.de/ekst/eingabeformekst.xhtml</t>
  </si>
  <si>
    <t>passt exakt zum Ergebnis des …..</t>
  </si>
  <si>
    <t>als Sonderausgaben können nur "Basis"-Leistungen berücksichtigt werden, Krankengeld gilt nicht als "Basis"-Leistung, daher werden KV-Beiträge pauschal um 4% gekürzt</t>
  </si>
  <si>
    <t>zu versteuernder Jahresbetrag tatsächlich</t>
  </si>
  <si>
    <t>zu versteuernder Jahresbetrag (zvJB) berechnet</t>
  </si>
  <si>
    <t>Differenz zum tatsächlichen zvJB</t>
  </si>
  <si>
    <t>Den Zuschlag trägt der AN alleine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</si>
</sst>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1" fillId="0" borderId="0" xfId="0" applyFont="1" applyAlignment="1"/>
    <xf numFmtId="164" fontId="2" fillId="0" borderId="0" xfId="0" applyNumberFormat="1" applyFont="1" applyAlignment="1"/>
    <xf numFmtId="0" fontId="2" fillId="0" borderId="0" xfId="0" applyFont="1" applyAlignment="1"/>
    <xf numFmtId="10" fontId="2" fillId="0" borderId="0" xfId="0" applyNumberFormat="1" applyFont="1" applyAlignment="1"/>
    <xf numFmtId="164" fontId="2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/>
    <xf numFmtId="4" fontId="2" fillId="0" borderId="0" xfId="0" applyNumberFormat="1" applyFont="1" applyAlignme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indent="2"/>
    </xf>
    <xf numFmtId="164" fontId="0" fillId="0" borderId="0" xfId="0" applyNumberFormat="1" applyFont="1" applyAlignment="1"/>
    <xf numFmtId="0" fontId="3" fillId="0" borderId="0" xfId="0" applyFont="1" applyAlignment="1">
      <alignment horizontal="left" indent="4"/>
    </xf>
    <xf numFmtId="164" fontId="2" fillId="0" borderId="0" xfId="0" applyNumberFormat="1" applyFont="1" applyAlignment="1">
      <alignment horizontal="left" indent="2"/>
    </xf>
    <xf numFmtId="164" fontId="2" fillId="2" borderId="0" xfId="0" applyNumberFormat="1" applyFont="1" applyFill="1"/>
    <xf numFmtId="164" fontId="4" fillId="0" borderId="0" xfId="1" applyNumberForma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mf-steuerrechner.de/ekst/eingabeformekst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01A0-AF21-47DF-AFBD-ABEA81CA1C1C}">
  <sheetPr>
    <outlinePr summaryBelow="0" summaryRight="0"/>
  </sheetPr>
  <dimension ref="A1:H50"/>
  <sheetViews>
    <sheetView tabSelected="1" workbookViewId="0">
      <selection activeCell="E33" sqref="E33"/>
    </sheetView>
  </sheetViews>
  <sheetFormatPr baseColWidth="10" defaultColWidth="12.5703125" defaultRowHeight="15.75" customHeight="1" x14ac:dyDescent="0.2"/>
  <cols>
    <col min="1" max="1" width="24.7109375" customWidth="1"/>
    <col min="4" max="7" width="16.140625" customWidth="1"/>
    <col min="8" max="8" width="14.7109375" customWidth="1"/>
  </cols>
  <sheetData>
    <row r="1" spans="1:8" x14ac:dyDescent="0.2">
      <c r="A1" s="1" t="s">
        <v>0</v>
      </c>
      <c r="D1" s="2">
        <v>107000</v>
      </c>
      <c r="G1" s="2"/>
    </row>
    <row r="2" spans="1:8" x14ac:dyDescent="0.2">
      <c r="D2" s="3"/>
      <c r="G2" s="3"/>
      <c r="H2" s="3"/>
    </row>
    <row r="3" spans="1:8" x14ac:dyDescent="0.2">
      <c r="D3" s="1" t="s">
        <v>1</v>
      </c>
      <c r="E3" s="1" t="s">
        <v>2</v>
      </c>
      <c r="G3" s="1"/>
    </row>
    <row r="4" spans="1:8" x14ac:dyDescent="0.2">
      <c r="D4" s="1"/>
      <c r="E4" s="1"/>
      <c r="G4" s="1"/>
    </row>
    <row r="5" spans="1:8" x14ac:dyDescent="0.2">
      <c r="A5" s="3" t="s">
        <v>3</v>
      </c>
      <c r="B5" s="4">
        <v>0.186</v>
      </c>
      <c r="C5" s="2">
        <v>101400</v>
      </c>
      <c r="D5" s="5">
        <f t="shared" ref="D5:E9" si="0">MIN($D$1,$C5)*$B5/2</f>
        <v>9430.2000000000007</v>
      </c>
      <c r="E5" s="5">
        <f t="shared" si="0"/>
        <v>9430.2000000000007</v>
      </c>
      <c r="G5" s="5"/>
    </row>
    <row r="6" spans="1:8" x14ac:dyDescent="0.2">
      <c r="A6" s="3" t="s">
        <v>4</v>
      </c>
      <c r="B6" s="4">
        <v>2.5999999999999999E-2</v>
      </c>
      <c r="C6" s="2">
        <v>101400</v>
      </c>
      <c r="D6" s="5">
        <f t="shared" si="0"/>
        <v>1318.2</v>
      </c>
      <c r="E6" s="5">
        <f t="shared" si="0"/>
        <v>1318.2</v>
      </c>
      <c r="G6" s="5"/>
    </row>
    <row r="7" spans="1:8" x14ac:dyDescent="0.2">
      <c r="A7" s="3" t="s">
        <v>5</v>
      </c>
      <c r="B7" s="4">
        <v>0.14599999999999999</v>
      </c>
      <c r="C7" s="2">
        <v>69750</v>
      </c>
      <c r="D7" s="5">
        <f t="shared" si="0"/>
        <v>5091.75</v>
      </c>
      <c r="E7" s="5">
        <f t="shared" si="0"/>
        <v>5091.75</v>
      </c>
      <c r="G7" s="5"/>
    </row>
    <row r="8" spans="1:8" x14ac:dyDescent="0.2">
      <c r="A8" s="3" t="s">
        <v>6</v>
      </c>
      <c r="B8" s="4">
        <v>2.18E-2</v>
      </c>
      <c r="C8" s="2">
        <v>69750</v>
      </c>
      <c r="D8" s="5">
        <f t="shared" si="0"/>
        <v>760.27499999999998</v>
      </c>
      <c r="E8" s="5">
        <f t="shared" si="0"/>
        <v>760.27499999999998</v>
      </c>
      <c r="G8" s="5"/>
    </row>
    <row r="9" spans="1:8" x14ac:dyDescent="0.2">
      <c r="A9" s="3" t="s">
        <v>7</v>
      </c>
      <c r="B9" s="4">
        <v>3.5999999999999997E-2</v>
      </c>
      <c r="C9" s="2">
        <v>69750</v>
      </c>
      <c r="D9" s="5">
        <f>MIN($D$1,$C9)*$B9/2</f>
        <v>1255.5</v>
      </c>
      <c r="E9" s="5">
        <f t="shared" si="0"/>
        <v>1255.5</v>
      </c>
      <c r="G9" s="5"/>
    </row>
    <row r="10" spans="1:8" x14ac:dyDescent="0.2">
      <c r="A10" s="3" t="s">
        <v>8</v>
      </c>
      <c r="B10" s="4">
        <v>6.0000000000000001E-3</v>
      </c>
      <c r="C10" s="2">
        <v>69750</v>
      </c>
      <c r="D10" s="5">
        <f>MIN($D$1,$C10)*$B10</f>
        <v>418.5</v>
      </c>
      <c r="G10" s="5"/>
    </row>
    <row r="11" spans="1:8" x14ac:dyDescent="0.2">
      <c r="A11" s="1" t="s">
        <v>9</v>
      </c>
      <c r="B11" s="6"/>
      <c r="C11" s="5"/>
      <c r="D11" s="5">
        <f>SUM(D5:D10)</f>
        <v>18274.425000000003</v>
      </c>
      <c r="G11" s="5"/>
      <c r="H11" s="14"/>
    </row>
    <row r="12" spans="1:8" x14ac:dyDescent="0.2">
      <c r="A12" s="1" t="s">
        <v>10</v>
      </c>
      <c r="D12" s="5">
        <f>$D$1-$D$11</f>
        <v>88725.574999999997</v>
      </c>
      <c r="G12" s="5"/>
    </row>
    <row r="13" spans="1:8" x14ac:dyDescent="0.2">
      <c r="A13" s="1"/>
      <c r="D13" s="5"/>
      <c r="G13" s="5"/>
    </row>
    <row r="14" spans="1:8" x14ac:dyDescent="0.2">
      <c r="A14" s="1"/>
      <c r="D14" s="5"/>
      <c r="E14" s="5"/>
      <c r="F14" s="5"/>
      <c r="G14" s="5"/>
    </row>
    <row r="15" spans="1:8" x14ac:dyDescent="0.2">
      <c r="A15" s="2" t="s">
        <v>56</v>
      </c>
      <c r="D15" s="2">
        <v>107000</v>
      </c>
      <c r="E15" s="5"/>
      <c r="F15" s="5"/>
      <c r="G15" s="5"/>
    </row>
    <row r="16" spans="1:8" x14ac:dyDescent="0.2">
      <c r="A16" s="3" t="s">
        <v>57</v>
      </c>
      <c r="D16" s="2">
        <v>1230</v>
      </c>
      <c r="E16" s="5"/>
      <c r="F16" s="5"/>
      <c r="G16" s="5"/>
    </row>
    <row r="17" spans="1:7" x14ac:dyDescent="0.2">
      <c r="A17" s="3" t="s">
        <v>58</v>
      </c>
      <c r="D17" s="2">
        <f>D15-D16</f>
        <v>105770</v>
      </c>
      <c r="E17" s="5"/>
      <c r="F17" s="5"/>
      <c r="G17" s="5"/>
    </row>
    <row r="18" spans="1:7" x14ac:dyDescent="0.2">
      <c r="A18" s="3"/>
      <c r="D18" s="3"/>
      <c r="E18" s="5"/>
      <c r="F18" s="5"/>
      <c r="G18" s="5"/>
    </row>
    <row r="19" spans="1:7" x14ac:dyDescent="0.2">
      <c r="A19" s="13" t="s">
        <v>60</v>
      </c>
      <c r="D19" s="14">
        <f>D5+E5</f>
        <v>18860.400000000001</v>
      </c>
      <c r="E19" s="5"/>
      <c r="F19" s="5"/>
      <c r="G19" s="5"/>
    </row>
    <row r="20" spans="1:7" x14ac:dyDescent="0.2">
      <c r="A20" s="13" t="s">
        <v>68</v>
      </c>
      <c r="D20" s="14">
        <f>-E5</f>
        <v>-9430.2000000000007</v>
      </c>
      <c r="E20" s="5"/>
      <c r="F20" s="5"/>
      <c r="G20" s="5"/>
    </row>
    <row r="21" spans="1:7" x14ac:dyDescent="0.2">
      <c r="A21" s="13" t="s">
        <v>61</v>
      </c>
      <c r="D21" s="14">
        <f>D7+D8+E7+E8</f>
        <v>11704.05</v>
      </c>
      <c r="E21" s="5"/>
      <c r="F21" s="5"/>
      <c r="G21" s="5"/>
    </row>
    <row r="22" spans="1:7" x14ac:dyDescent="0.2">
      <c r="A22" s="15" t="s">
        <v>62</v>
      </c>
      <c r="D22" s="14">
        <f>-(D7+E7)*0.04/2</f>
        <v>-203.67000000000002</v>
      </c>
      <c r="E22" s="5" t="s">
        <v>74</v>
      </c>
      <c r="F22" s="5"/>
      <c r="G22" s="5"/>
    </row>
    <row r="23" spans="1:7" x14ac:dyDescent="0.2">
      <c r="A23" s="16" t="s">
        <v>63</v>
      </c>
      <c r="D23" s="5">
        <f>D9+E9+D10</f>
        <v>2929.5</v>
      </c>
      <c r="E23" s="5"/>
      <c r="F23" s="5"/>
      <c r="G23" s="5"/>
    </row>
    <row r="24" spans="1:7" x14ac:dyDescent="0.2">
      <c r="A24" s="16" t="s">
        <v>70</v>
      </c>
      <c r="D24" s="5">
        <f>MIN(D6+E6,MAX(0,1900-(SUM(D21:D23))))</f>
        <v>0</v>
      </c>
      <c r="E24" s="5" t="s">
        <v>71</v>
      </c>
      <c r="F24" s="5"/>
      <c r="G24" s="5"/>
    </row>
    <row r="25" spans="1:7" x14ac:dyDescent="0.2">
      <c r="A25" s="13" t="s">
        <v>64</v>
      </c>
      <c r="D25" s="5">
        <f>-(E7+E8+E9)</f>
        <v>-7107.5249999999996</v>
      </c>
      <c r="E25" s="5" t="s">
        <v>78</v>
      </c>
      <c r="F25" s="5"/>
      <c r="G25" s="5"/>
    </row>
    <row r="26" spans="1:7" x14ac:dyDescent="0.2">
      <c r="A26" s="12" t="s">
        <v>59</v>
      </c>
      <c r="D26" s="2">
        <f>SUM(D19:D25)</f>
        <v>16752.555</v>
      </c>
      <c r="E26" s="5"/>
      <c r="F26" s="5"/>
      <c r="G26" s="5"/>
    </row>
    <row r="27" spans="1:7" x14ac:dyDescent="0.2">
      <c r="A27" s="12"/>
      <c r="D27" s="2"/>
      <c r="E27" s="5"/>
      <c r="F27" s="5"/>
      <c r="G27" s="5"/>
    </row>
    <row r="28" spans="1:7" x14ac:dyDescent="0.2">
      <c r="A28" s="13" t="s">
        <v>65</v>
      </c>
      <c r="D28" s="2">
        <v>36</v>
      </c>
      <c r="E28" s="5"/>
      <c r="F28" s="5"/>
      <c r="G28" s="5"/>
    </row>
    <row r="29" spans="1:7" x14ac:dyDescent="0.2">
      <c r="A29" s="12" t="s">
        <v>66</v>
      </c>
      <c r="D29" s="2">
        <f>D28</f>
        <v>36</v>
      </c>
      <c r="E29" s="5"/>
      <c r="F29" s="5"/>
      <c r="G29" s="5"/>
    </row>
    <row r="30" spans="1:7" x14ac:dyDescent="0.2">
      <c r="A30" s="1"/>
      <c r="D30" s="5"/>
      <c r="E30" s="5"/>
      <c r="F30" s="5"/>
      <c r="G30" s="5"/>
    </row>
    <row r="31" spans="1:7" x14ac:dyDescent="0.2">
      <c r="A31" s="1" t="s">
        <v>76</v>
      </c>
      <c r="D31" s="5">
        <f>D17-D26-D29</f>
        <v>88981.445000000007</v>
      </c>
      <c r="E31" s="5"/>
      <c r="F31" s="5"/>
      <c r="G31" s="5"/>
    </row>
    <row r="32" spans="1:7" x14ac:dyDescent="0.2">
      <c r="A32" s="1" t="s">
        <v>77</v>
      </c>
      <c r="D32" s="17">
        <f>D31-D34</f>
        <v>-5.5549999999930151</v>
      </c>
      <c r="E32" s="5"/>
      <c r="F32" s="5"/>
      <c r="G32" s="5"/>
    </row>
    <row r="33" spans="1:8" ht="15.75" customHeight="1" x14ac:dyDescent="0.2">
      <c r="E33" s="5"/>
    </row>
    <row r="34" spans="1:8" x14ac:dyDescent="0.2">
      <c r="A34" s="1" t="s">
        <v>75</v>
      </c>
      <c r="D34" s="5">
        <v>88987</v>
      </c>
      <c r="E34" s="2" t="s">
        <v>69</v>
      </c>
      <c r="F34" s="2"/>
      <c r="G34" s="5"/>
      <c r="H34" s="14"/>
    </row>
    <row r="35" spans="1:8" x14ac:dyDescent="0.2">
      <c r="A35" s="3" t="s">
        <v>11</v>
      </c>
      <c r="B35" s="4">
        <v>0</v>
      </c>
      <c r="C35" s="2">
        <v>12348</v>
      </c>
      <c r="D35" s="2">
        <v>0</v>
      </c>
      <c r="E35" s="2"/>
      <c r="F35" s="2"/>
      <c r="G35" s="2"/>
    </row>
    <row r="36" spans="1:8" x14ac:dyDescent="0.2">
      <c r="A36" s="3" t="s">
        <v>12</v>
      </c>
      <c r="B36" s="7"/>
      <c r="C36" s="2">
        <v>17799</v>
      </c>
      <c r="D36" s="5">
        <f>(914.51*B45+1400)*B45</f>
        <v>1034.8720234851</v>
      </c>
      <c r="E36" s="5"/>
      <c r="F36" s="5"/>
      <c r="G36" s="5"/>
    </row>
    <row r="37" spans="1:8" x14ac:dyDescent="0.2">
      <c r="A37" s="3" t="s">
        <v>13</v>
      </c>
      <c r="B37" s="6"/>
      <c r="C37" s="2">
        <v>69878</v>
      </c>
      <c r="D37" s="5">
        <f>(173.1*B46+2397)*B46</f>
        <v>17178.192999171002</v>
      </c>
      <c r="E37" s="5"/>
      <c r="F37" s="5"/>
      <c r="G37" s="5"/>
    </row>
    <row r="38" spans="1:8" x14ac:dyDescent="0.2">
      <c r="A38" s="3" t="s">
        <v>14</v>
      </c>
      <c r="B38" s="4">
        <v>0.42</v>
      </c>
      <c r="C38" s="2">
        <v>277825</v>
      </c>
      <c r="D38" s="5">
        <f>IF($D$34&gt;=C37+1,B38*MIN(MAX(C37+1,C38),$D$34)-D36-D37-11135.63,0)</f>
        <v>8025.8449773439006</v>
      </c>
      <c r="E38" s="5"/>
      <c r="F38" s="5"/>
      <c r="G38" s="5"/>
    </row>
    <row r="39" spans="1:8" x14ac:dyDescent="0.2">
      <c r="A39" s="3" t="s">
        <v>15</v>
      </c>
      <c r="B39" s="4">
        <v>0.45</v>
      </c>
      <c r="C39" s="2"/>
      <c r="D39" s="5">
        <f>IF($D$34&gt;=C38+1,B39*MIN(MAX(C38+1,C39),$D$34)-D36-D37-D38-11135.63,0)</f>
        <v>0</v>
      </c>
      <c r="E39" s="5"/>
      <c r="F39" s="5"/>
      <c r="G39" s="5"/>
    </row>
    <row r="40" spans="1:8" x14ac:dyDescent="0.2">
      <c r="A40" s="1" t="s">
        <v>16</v>
      </c>
      <c r="B40" s="4"/>
      <c r="C40" s="5"/>
      <c r="D40" s="5">
        <f>ROUNDDOWN(SUM(D35:D39),0)</f>
        <v>26238</v>
      </c>
      <c r="E40" s="5" t="s">
        <v>73</v>
      </c>
      <c r="G40" s="18" t="s">
        <v>72</v>
      </c>
    </row>
    <row r="41" spans="1:8" x14ac:dyDescent="0.2">
      <c r="A41" s="1" t="s">
        <v>67</v>
      </c>
      <c r="B41" s="4"/>
      <c r="C41" s="5"/>
      <c r="D41" s="5">
        <f>IF(D40&lt;=20350,0,IF(D40&lt;=31382,(D40-20350)*0.119,D40*0.055))</f>
        <v>700.67200000000003</v>
      </c>
      <c r="E41" s="5"/>
      <c r="F41" s="5"/>
      <c r="G41" s="5"/>
    </row>
    <row r="42" spans="1:8" x14ac:dyDescent="0.2">
      <c r="A42" s="1"/>
      <c r="B42" s="4"/>
      <c r="C42" s="5"/>
    </row>
    <row r="43" spans="1:8" x14ac:dyDescent="0.2">
      <c r="A43" s="1" t="s">
        <v>17</v>
      </c>
      <c r="B43" s="4"/>
      <c r="C43" s="5"/>
      <c r="D43" s="5">
        <f>D1-D11-D40-D41</f>
        <v>61786.902999999998</v>
      </c>
      <c r="E43" s="5"/>
      <c r="F43" s="5"/>
      <c r="G43" s="5"/>
    </row>
    <row r="44" spans="1:8" x14ac:dyDescent="0.2">
      <c r="B44" s="4"/>
      <c r="C44" s="2"/>
    </row>
    <row r="45" spans="1:8" x14ac:dyDescent="0.2">
      <c r="A45" s="3" t="s">
        <v>18</v>
      </c>
      <c r="B45" s="8">
        <f>IF($D$34&gt;=C35+1,ROUNDDOWN(MIN(MAX($C$35+1,$C$36),$D$34)-$C$35,0)/10000,0)</f>
        <v>0.54510000000000003</v>
      </c>
    </row>
    <row r="46" spans="1:8" x14ac:dyDescent="0.2">
      <c r="A46" s="3" t="s">
        <v>19</v>
      </c>
      <c r="B46" s="9">
        <f>IF($D$34&gt;=C36+1,ROUNDDOWN(MIN(MAX($C$36+1,$C$37),$D$34)-$C$36,0)/10000,0)</f>
        <v>5.2079000000000004</v>
      </c>
      <c r="D46" s="14"/>
    </row>
    <row r="48" spans="1:8" ht="15.75" customHeight="1" x14ac:dyDescent="0.2">
      <c r="D48" s="14"/>
    </row>
    <row r="50" spans="2:2" x14ac:dyDescent="0.2">
      <c r="B50" s="8"/>
    </row>
  </sheetData>
  <hyperlinks>
    <hyperlink ref="G40" r:id="rId1" xr:uid="{5ED3267C-3CF0-4DC2-9452-2CAE0E57A83F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37"/>
  <sheetViews>
    <sheetView topLeftCell="A7" workbookViewId="0">
      <selection activeCell="B10" sqref="B10"/>
    </sheetView>
  </sheetViews>
  <sheetFormatPr baseColWidth="10" defaultColWidth="12.5703125" defaultRowHeight="15.75" customHeight="1" x14ac:dyDescent="0.2"/>
  <cols>
    <col min="1" max="1" width="29.28515625" customWidth="1"/>
    <col min="2" max="2" width="13" customWidth="1"/>
  </cols>
  <sheetData>
    <row r="1" spans="1:2" x14ac:dyDescent="0.2">
      <c r="A1" s="3" t="s">
        <v>20</v>
      </c>
      <c r="B1" s="2">
        <v>107000</v>
      </c>
    </row>
    <row r="2" spans="1:2" x14ac:dyDescent="0.2">
      <c r="A2" s="3" t="s">
        <v>21</v>
      </c>
      <c r="B2" s="3">
        <v>1</v>
      </c>
    </row>
    <row r="3" spans="1:2" x14ac:dyDescent="0.2">
      <c r="A3" s="3" t="s">
        <v>22</v>
      </c>
      <c r="B3" s="3">
        <v>0</v>
      </c>
    </row>
    <row r="4" spans="1:2" x14ac:dyDescent="0.2">
      <c r="A4" s="3" t="s">
        <v>23</v>
      </c>
      <c r="B4" s="2">
        <v>12348</v>
      </c>
    </row>
    <row r="5" spans="1:2" x14ac:dyDescent="0.2">
      <c r="A5" s="3" t="s">
        <v>24</v>
      </c>
      <c r="B5" s="4">
        <v>0.186</v>
      </c>
    </row>
    <row r="6" spans="1:2" x14ac:dyDescent="0.2">
      <c r="A6" s="3" t="s">
        <v>25</v>
      </c>
      <c r="B6" s="2">
        <v>101400</v>
      </c>
    </row>
    <row r="7" spans="1:2" x14ac:dyDescent="0.2">
      <c r="A7" s="3" t="s">
        <v>26</v>
      </c>
      <c r="B7" s="4">
        <v>1.2999999999999999E-2</v>
      </c>
    </row>
    <row r="8" spans="1:2" x14ac:dyDescent="0.2">
      <c r="A8" s="3" t="s">
        <v>27</v>
      </c>
      <c r="B8" s="2">
        <v>101400</v>
      </c>
    </row>
    <row r="9" spans="1:2" x14ac:dyDescent="0.2">
      <c r="A9" s="3" t="s">
        <v>28</v>
      </c>
      <c r="B9" s="4">
        <v>0.14599999999999999</v>
      </c>
    </row>
    <row r="10" spans="1:2" x14ac:dyDescent="0.2">
      <c r="A10" s="3" t="s">
        <v>29</v>
      </c>
      <c r="B10" s="4">
        <v>2.18E-2</v>
      </c>
    </row>
    <row r="11" spans="1:2" x14ac:dyDescent="0.2">
      <c r="A11" s="3" t="s">
        <v>30</v>
      </c>
      <c r="B11" s="2">
        <v>69750</v>
      </c>
    </row>
    <row r="12" spans="1:2" x14ac:dyDescent="0.2">
      <c r="A12" s="3" t="s">
        <v>31</v>
      </c>
      <c r="B12" s="4">
        <v>3.5999999999999997E-2</v>
      </c>
    </row>
    <row r="13" spans="1:2" x14ac:dyDescent="0.2">
      <c r="A13" s="3" t="s">
        <v>32</v>
      </c>
      <c r="B13" s="4">
        <v>6.0000000000000001E-3</v>
      </c>
    </row>
    <row r="14" spans="1:2" x14ac:dyDescent="0.2">
      <c r="A14" s="3" t="s">
        <v>33</v>
      </c>
      <c r="B14" s="10">
        <v>914.51</v>
      </c>
    </row>
    <row r="15" spans="1:2" x14ac:dyDescent="0.2">
      <c r="A15" s="3" t="s">
        <v>34</v>
      </c>
      <c r="B15" s="10">
        <v>1400</v>
      </c>
    </row>
    <row r="16" spans="1:2" x14ac:dyDescent="0.2">
      <c r="A16" s="3" t="s">
        <v>35</v>
      </c>
      <c r="B16" s="10">
        <v>173.1</v>
      </c>
    </row>
    <row r="17" spans="1:2" x14ac:dyDescent="0.2">
      <c r="A17" s="3" t="s">
        <v>36</v>
      </c>
      <c r="B17" s="10">
        <v>2397</v>
      </c>
    </row>
    <row r="18" spans="1:2" x14ac:dyDescent="0.2">
      <c r="A18" s="3" t="s">
        <v>37</v>
      </c>
      <c r="B18" s="10">
        <v>1034.8699999999999</v>
      </c>
    </row>
    <row r="19" spans="1:2" x14ac:dyDescent="0.2">
      <c r="A19" s="3" t="s">
        <v>38</v>
      </c>
      <c r="B19" s="4">
        <v>0.49</v>
      </c>
    </row>
    <row r="20" spans="1:2" x14ac:dyDescent="0.2">
      <c r="A20" s="3" t="s">
        <v>39</v>
      </c>
      <c r="B20" s="2">
        <v>90000</v>
      </c>
    </row>
    <row r="21" spans="1:2" x14ac:dyDescent="0.2">
      <c r="A21" s="3" t="s">
        <v>40</v>
      </c>
      <c r="B21" s="7">
        <f>IF(B1&gt;B20,(B16*(B1-17799)/10000+B17)*(B1-17799)/10000+B18-B1*B19,0)</f>
        <v>-16240.397647869002</v>
      </c>
    </row>
    <row r="22" spans="1:2" x14ac:dyDescent="0.2">
      <c r="A22" s="3" t="s">
        <v>41</v>
      </c>
      <c r="B22" s="4">
        <v>0.45</v>
      </c>
    </row>
    <row r="23" spans="1:2" x14ac:dyDescent="0.2">
      <c r="A23" s="3" t="s">
        <v>42</v>
      </c>
      <c r="B23" s="10">
        <v>-19470.38</v>
      </c>
    </row>
    <row r="24" spans="1:2" x14ac:dyDescent="0.2">
      <c r="A24" s="3" t="s">
        <v>43</v>
      </c>
      <c r="B24" s="5">
        <f>MIN(B1,B6)*B5/2</f>
        <v>9430.2000000000007</v>
      </c>
    </row>
    <row r="25" spans="1:2" x14ac:dyDescent="0.2">
      <c r="A25" s="3" t="s">
        <v>44</v>
      </c>
      <c r="B25" s="5">
        <f>MIN(B1,B8)*B7</f>
        <v>1318.2</v>
      </c>
    </row>
    <row r="26" spans="1:2" x14ac:dyDescent="0.2">
      <c r="A26" s="3" t="s">
        <v>45</v>
      </c>
      <c r="B26" s="5">
        <f>MIN(B1,B11)*(B9+B10)/2</f>
        <v>5852.0250000000005</v>
      </c>
    </row>
    <row r="27" spans="1:2" x14ac:dyDescent="0.2">
      <c r="A27" s="3" t="s">
        <v>46</v>
      </c>
      <c r="B27" s="5">
        <f>MIN(B1,B11)*(B12/2+B13)</f>
        <v>1674</v>
      </c>
    </row>
    <row r="28" spans="1:2" x14ac:dyDescent="0.2">
      <c r="A28" s="3" t="s">
        <v>9</v>
      </c>
      <c r="B28" s="5">
        <f>SUM(B24:B27)</f>
        <v>18274.425000000003</v>
      </c>
    </row>
    <row r="29" spans="1:2" x14ac:dyDescent="0.2">
      <c r="A29" s="1" t="s">
        <v>47</v>
      </c>
      <c r="B29" s="5">
        <f>MAX(0,B1-B28-B4)</f>
        <v>76377.574999999997</v>
      </c>
    </row>
    <row r="30" spans="1:2" x14ac:dyDescent="0.2">
      <c r="A30" s="3" t="s">
        <v>48</v>
      </c>
      <c r="B30" s="7">
        <f>(B29-B4)/10000</f>
        <v>6.4029574999999994</v>
      </c>
    </row>
    <row r="31" spans="1:2" x14ac:dyDescent="0.2">
      <c r="A31" s="3" t="s">
        <v>49</v>
      </c>
      <c r="B31" s="7">
        <f>(B29-17799)/10000</f>
        <v>5.8578574999999997</v>
      </c>
    </row>
    <row r="32" spans="1:2" x14ac:dyDescent="0.2">
      <c r="A32" s="3" t="s">
        <v>50</v>
      </c>
      <c r="B32" s="11">
        <f>IF(AND(B29&gt;B4,B29&lt;=17799),(B14*B30+B15)*B30,0)</f>
        <v>0</v>
      </c>
    </row>
    <row r="33" spans="1:2" x14ac:dyDescent="0.2">
      <c r="A33" s="3" t="s">
        <v>51</v>
      </c>
      <c r="B33" s="11">
        <f>IF(AND(B29&gt;17799,B29&lt;=69878),(B16*B31+B17)*B31+B18,0)</f>
        <v>0</v>
      </c>
    </row>
    <row r="34" spans="1:2" x14ac:dyDescent="0.2">
      <c r="A34" s="3" t="s">
        <v>52</v>
      </c>
      <c r="B34" s="11">
        <f>IF(AND(B29&gt;B20,B29&lt;=277825),B19*B29+B21,0)</f>
        <v>0</v>
      </c>
    </row>
    <row r="35" spans="1:2" x14ac:dyDescent="0.2">
      <c r="A35" s="3" t="s">
        <v>53</v>
      </c>
      <c r="B35" s="11">
        <f>IF(B29&gt;277825,B31*B29+B23,0)</f>
        <v>0</v>
      </c>
    </row>
    <row r="36" spans="1:2" x14ac:dyDescent="0.2">
      <c r="A36" s="3" t="s">
        <v>54</v>
      </c>
      <c r="B36" s="11">
        <f>SUM(B32:B35)</f>
        <v>0</v>
      </c>
    </row>
    <row r="37" spans="1:2" x14ac:dyDescent="0.2">
      <c r="A37" s="1" t="s">
        <v>55</v>
      </c>
      <c r="B37" s="5">
        <f>B29-B36</f>
        <v>76377.574999999997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2026 neu</vt:lpstr>
      <vt:lpstr>Tabellenblatt2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Jörn Hübner</dc:creator>
  <cp:lastModifiedBy>Jörn Hübner</cp:lastModifiedBy>
  <dcterms:created xsi:type="dcterms:W3CDTF">2026-03-16T13:44:44Z</dcterms:created>
  <dcterms:modified xsi:type="dcterms:W3CDTF">2026-03-16T19:04:07Z</dcterms:modified>
</cp:coreProperties>
</file>