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hael\Documents\Docs\Office\Finanzen\"/>
    </mc:Choice>
  </mc:AlternateContent>
  <bookViews>
    <workbookView xWindow="0" yWindow="0" windowWidth="16380" windowHeight="8194" tabRatio="500"/>
  </bookViews>
  <sheets>
    <sheet name="Eingabe" sheetId="1" r:id="rId1"/>
    <sheet name="Auswertung" sheetId="2" r:id="rId2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2" l="1"/>
  <c r="B21" i="2"/>
  <c r="B22" i="2" s="1"/>
  <c r="F16" i="2"/>
  <c r="A16" i="2"/>
  <c r="F15" i="2"/>
  <c r="A15" i="2"/>
  <c r="F14" i="2"/>
  <c r="B14" i="2"/>
  <c r="C14" i="2" s="1"/>
  <c r="D14" i="2" s="1"/>
  <c r="E14" i="2" s="1"/>
  <c r="G14" i="2" s="1"/>
  <c r="H14" i="2" s="1"/>
  <c r="I14" i="2" s="1"/>
  <c r="A14" i="2"/>
  <c r="F13" i="2"/>
  <c r="A13" i="2"/>
  <c r="F12" i="2"/>
  <c r="A12" i="2"/>
  <c r="F11" i="2"/>
  <c r="A11" i="2"/>
  <c r="F10" i="2"/>
  <c r="A10" i="2"/>
  <c r="F9" i="2"/>
  <c r="A9" i="2"/>
  <c r="F8" i="2"/>
  <c r="A8" i="2"/>
  <c r="F7" i="2"/>
  <c r="A7" i="2"/>
  <c r="F6" i="2"/>
  <c r="B6" i="2"/>
  <c r="C6" i="2" s="1"/>
  <c r="D6" i="2" s="1"/>
  <c r="E6" i="2" s="1"/>
  <c r="G6" i="2" s="1"/>
  <c r="H6" i="2" s="1"/>
  <c r="I6" i="2" s="1"/>
  <c r="A6" i="2"/>
  <c r="F5" i="2"/>
  <c r="B5" i="2"/>
  <c r="A5" i="2"/>
  <c r="E26" i="1"/>
  <c r="C26" i="1"/>
  <c r="B26" i="1"/>
  <c r="D25" i="1"/>
  <c r="B16" i="2" s="1"/>
  <c r="C16" i="2" s="1"/>
  <c r="D16" i="2" s="1"/>
  <c r="E16" i="2" s="1"/>
  <c r="G16" i="2" s="1"/>
  <c r="H16" i="2" s="1"/>
  <c r="I16" i="2" s="1"/>
  <c r="D24" i="1"/>
  <c r="B15" i="2" s="1"/>
  <c r="C15" i="2" s="1"/>
  <c r="D15" i="2" s="1"/>
  <c r="E15" i="2" s="1"/>
  <c r="G15" i="2" s="1"/>
  <c r="H15" i="2" s="1"/>
  <c r="I15" i="2" s="1"/>
  <c r="D23" i="1"/>
  <c r="D22" i="1"/>
  <c r="B13" i="2" s="1"/>
  <c r="C13" i="2" s="1"/>
  <c r="D13" i="2" s="1"/>
  <c r="E13" i="2" s="1"/>
  <c r="G13" i="2" s="1"/>
  <c r="H13" i="2" s="1"/>
  <c r="I13" i="2" s="1"/>
  <c r="D21" i="1"/>
  <c r="B12" i="2" s="1"/>
  <c r="C12" i="2" s="1"/>
  <c r="D12" i="2" s="1"/>
  <c r="E12" i="2" s="1"/>
  <c r="G12" i="2" s="1"/>
  <c r="H12" i="2" s="1"/>
  <c r="I12" i="2" s="1"/>
  <c r="D20" i="1"/>
  <c r="B11" i="2" s="1"/>
  <c r="C11" i="2" s="1"/>
  <c r="D11" i="2" s="1"/>
  <c r="E11" i="2" s="1"/>
  <c r="G11" i="2" s="1"/>
  <c r="H11" i="2" s="1"/>
  <c r="I11" i="2" s="1"/>
  <c r="D19" i="1"/>
  <c r="B10" i="2" s="1"/>
  <c r="C10" i="2" s="1"/>
  <c r="D10" i="2" s="1"/>
  <c r="E10" i="2" s="1"/>
  <c r="G10" i="2" s="1"/>
  <c r="H10" i="2" s="1"/>
  <c r="I10" i="2" s="1"/>
  <c r="D18" i="1"/>
  <c r="B9" i="2" s="1"/>
  <c r="C9" i="2" s="1"/>
  <c r="D9" i="2" s="1"/>
  <c r="E9" i="2" s="1"/>
  <c r="D17" i="1"/>
  <c r="B8" i="2" s="1"/>
  <c r="C8" i="2" s="1"/>
  <c r="D8" i="2" s="1"/>
  <c r="E8" i="2" s="1"/>
  <c r="G8" i="2" s="1"/>
  <c r="H8" i="2" s="1"/>
  <c r="I8" i="2" s="1"/>
  <c r="D16" i="1"/>
  <c r="D26" i="1" s="1"/>
  <c r="D15" i="1"/>
  <c r="D14" i="1"/>
  <c r="G9" i="2" l="1"/>
  <c r="H9" i="2" s="1"/>
  <c r="I9" i="2" s="1"/>
  <c r="B7" i="2"/>
  <c r="C7" i="2" s="1"/>
  <c r="D7" i="2" s="1"/>
  <c r="E7" i="2" s="1"/>
  <c r="G7" i="2" s="1"/>
  <c r="H7" i="2" s="1"/>
  <c r="I7" i="2" s="1"/>
  <c r="C5" i="2"/>
  <c r="D5" i="2" s="1"/>
  <c r="E5" i="2" s="1"/>
  <c r="G5" i="2" s="1"/>
  <c r="H5" i="2" s="1"/>
  <c r="I5" i="2" l="1"/>
  <c r="I17" i="2" s="1"/>
  <c r="B24" i="2" s="1"/>
  <c r="H17" i="2"/>
  <c r="B23" i="2" s="1"/>
  <c r="B17" i="2"/>
  <c r="D41" i="2" l="1"/>
  <c r="C39" i="2"/>
  <c r="B35" i="2"/>
  <c r="C34" i="2"/>
  <c r="C41" i="2"/>
  <c r="B39" i="2"/>
  <c r="C37" i="2"/>
  <c r="D36" i="2"/>
  <c r="B36" i="2"/>
  <c r="C35" i="2"/>
  <c r="D33" i="2"/>
  <c r="B41" i="2"/>
  <c r="B40" i="2"/>
  <c r="D38" i="2"/>
  <c r="B38" i="2"/>
  <c r="B37" i="2"/>
  <c r="D40" i="2"/>
  <c r="C38" i="2"/>
  <c r="D37" i="2"/>
  <c r="D35" i="2"/>
  <c r="D34" i="2"/>
  <c r="C40" i="2"/>
  <c r="B33" i="2"/>
  <c r="B27" i="2"/>
  <c r="B28" i="2" s="1"/>
  <c r="B34" i="2"/>
  <c r="D39" i="2"/>
  <c r="C36" i="2"/>
  <c r="C33" i="2"/>
  <c r="B26" i="2"/>
</calcChain>
</file>

<file path=xl/sharedStrings.xml><?xml version="1.0" encoding="utf-8"?>
<sst xmlns="http://schemas.openxmlformats.org/spreadsheetml/2006/main" count="99" uniqueCount="80">
  <si>
    <t>Balkonkraftwerk – Speicher-Rentabilitätsanalyse</t>
  </si>
  <si>
    <t>⚙  SPEICHER-PARAMETER   (blaue Werte sind Eingaben – jederzeit veränderbar)</t>
  </si>
  <si>
    <t>Bezeichnung</t>
  </si>
  <si>
    <t>Wert</t>
  </si>
  <si>
    <t>Einheit</t>
  </si>
  <si>
    <t>Empfehlung / Hinweis</t>
  </si>
  <si>
    <t>Nutzbare Kapazität</t>
  </si>
  <si>
    <t>kWh</t>
  </si>
  <si>
    <t>Empfehlung: 1,5–2,0 kWh</t>
  </si>
  <si>
    <t>Speicherpreis</t>
  </si>
  <si>
    <t>€</t>
  </si>
  <si>
    <t>Zielpreis ≤ 850 € (2 kWh LFP)</t>
  </si>
  <si>
    <t>Rundwirkungsgrad</t>
  </si>
  <si>
    <t>%</t>
  </si>
  <si>
    <t>Typisch 85–92 % bei LFP-Akkus</t>
  </si>
  <si>
    <t>Lebensdauer</t>
  </si>
  <si>
    <t>Jahre</t>
  </si>
  <si>
    <t>LFP: 15+ Jahre realistisch</t>
  </si>
  <si>
    <t>Strompreis</t>
  </si>
  <si>
    <t>€/kWh</t>
  </si>
  <si>
    <t>Aktuellen Tarif eintragen</t>
  </si>
  <si>
    <t>Effizienz ohne Regelung</t>
  </si>
  <si>
    <t>Ohne Smart-Control: ca. 55–65 %</t>
  </si>
  <si>
    <t>📊  MONATSDATEN   (Gelb = Schätzwert → sobald Messwert vorliegt ersetzen)</t>
  </si>
  <si>
    <t>Monat</t>
  </si>
  <si>
    <t>Erzeugung
(kWh)</t>
  </si>
  <si>
    <t>Eigenvbr. ohne
Speicher (kWh)</t>
  </si>
  <si>
    <t>Einspeisung
(Überschuss, kWh)</t>
  </si>
  <si>
    <t>Gesamt-
Verbrauch (kWh)</t>
  </si>
  <si>
    <t>Datenquelle</t>
  </si>
  <si>
    <t>Jan</t>
  </si>
  <si>
    <t>✓  Messung Jan 2026</t>
  </si>
  <si>
    <t>Feb</t>
  </si>
  <si>
    <t>✓  Messung Feb 2026</t>
  </si>
  <si>
    <t>Mär</t>
  </si>
  <si>
    <t>✓  Messung Mär 2026</t>
  </si>
  <si>
    <t>Apr</t>
  </si>
  <si>
    <t>✓  Messung Apr 2026</t>
  </si>
  <si>
    <t>Mai</t>
  </si>
  <si>
    <t>⚠  Schätzung</t>
  </si>
  <si>
    <t>Jun</t>
  </si>
  <si>
    <t>Jul</t>
  </si>
  <si>
    <t>Aug</t>
  </si>
  <si>
    <t>Sep</t>
  </si>
  <si>
    <t>✓  Messung Sep–Dez 2025</t>
  </si>
  <si>
    <t>Okt</t>
  </si>
  <si>
    <t>Nov</t>
  </si>
  <si>
    <t>Dez</t>
  </si>
  <si>
    <t>Gesamt (Jahr)</t>
  </si>
  <si>
    <t>Legende:  Blau = Eingabe (veränderbar)   |   Schwarz = Formel   |   Gelb = Schätzwert (durch Messwert ersetzen)</t>
  </si>
  <si>
    <t>Speicher-Auswertung  —  Berechnung automatisch aus Eingabe-Blatt</t>
  </si>
  <si>
    <t>📈  MONATLICHE SPEICHER-SIMULATION</t>
  </si>
  <si>
    <t>Überschuss
(kWh/Mon.)</t>
  </si>
  <si>
    <t>Tages-
Überschuss
(kWh)</t>
  </si>
  <si>
    <t>Tägl.
speicherbar
(kWh)</t>
  </si>
  <si>
    <t>Tägl.
entladbar
(kWh)</t>
  </si>
  <si>
    <t>Abend-Netz-
bedarf
(kWh/Tag)</t>
  </si>
  <si>
    <t>Tägl.
Zusatz-EV
(kWh)</t>
  </si>
  <si>
    <t>Monatl.
Zusatz-EV
(kWh)</t>
  </si>
  <si>
    <t>Ersparnis
(€/Mon.)</t>
  </si>
  <si>
    <t>Quelle</t>
  </si>
  <si>
    <t>Messung 2026</t>
  </si>
  <si>
    <t>Messung 2025</t>
  </si>
  <si>
    <t>Gesamt</t>
  </si>
  <si>
    <t>💰  AMORTISATIONSRECHNUNG</t>
  </si>
  <si>
    <t>Kennzahl</t>
  </si>
  <si>
    <t>EV ohne Speicher (kWh/Jahr)</t>
  </si>
  <si>
    <t>Aktuelle Jahresersparnis (€/Jahr)</t>
  </si>
  <si>
    <t>Zusatz-EV durch Speicher (kWh/Jahr)</t>
  </si>
  <si>
    <t>Zusatz-Ersparnis durch Speicher (€/Jahr)</t>
  </si>
  <si>
    <t>Amortisationsdauer (Jahre)</t>
  </si>
  <si>
    <t>Gesamtersparnis über Lebensdauer (€)</t>
  </si>
  <si>
    <t>Nettogewinn / -verlust über Lebensdauer</t>
  </si>
  <si>
    <t>📊  PREISSENSITIVITÄT  —  Amortisation bei verschiedenen Speicherpreisen</t>
  </si>
  <si>
    <t>Speicherpreis (€)</t>
  </si>
  <si>
    <t>Ersparnis/Jahr (€)</t>
  </si>
  <si>
    <t>Amortisation (Jahre)</t>
  </si>
  <si>
    <t>Bewertung</t>
  </si>
  <si>
    <t>Formel-Logik: Tägl. speicherbar = MIN(Tages-Überschuss, Kapazität) → × Wirkungsgrad = Tägl. entladbar → MIN(entladbar, Abend-Netzbedarf) × Effizienz-Faktor = Tägl. Zusatz-EV</t>
  </si>
  <si>
    <t>✓  Messung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</si>
</sst>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1"/>
    </font>
    <font>
      <b/>
      <sz val="14"/>
      <color rgb="FFFFFFFF"/>
      <name val="Arial"/>
      <charset val="1"/>
    </font>
    <font>
      <b/>
      <sz val="10"/>
      <color rgb="FFFFFFFF"/>
      <name val="Arial"/>
      <charset val="1"/>
    </font>
    <font>
      <b/>
      <sz val="9"/>
      <color rgb="FFFFFFFF"/>
      <name val="Arial"/>
      <charset val="1"/>
    </font>
    <font>
      <sz val="10"/>
      <name val="Arial"/>
      <charset val="1"/>
    </font>
    <font>
      <b/>
      <sz val="10"/>
      <color rgb="FF0000FF"/>
      <name val="Arial"/>
      <charset val="1"/>
    </font>
    <font>
      <i/>
      <sz val="9"/>
      <color rgb="FF555555"/>
      <name val="Arial"/>
      <charset val="1"/>
    </font>
    <font>
      <b/>
      <sz val="10"/>
      <name val="Arial"/>
      <charset val="1"/>
    </font>
    <font>
      <sz val="10"/>
      <color rgb="FF0000FF"/>
      <name val="Arial"/>
      <charset val="1"/>
    </font>
    <font>
      <i/>
      <sz val="9"/>
      <color rgb="FF006600"/>
      <name val="Arial"/>
      <charset val="1"/>
    </font>
    <font>
      <i/>
      <sz val="9"/>
      <color rgb="FFCC6600"/>
      <name val="Arial"/>
      <charset val="1"/>
    </font>
    <font>
      <i/>
      <sz val="8"/>
      <color rgb="FF666666"/>
      <name val="Arial"/>
      <charset val="1"/>
    </font>
    <font>
      <b/>
      <sz val="13"/>
      <color rgb="FFFFFFFF"/>
      <name val="Arial"/>
      <charset val="1"/>
    </font>
  </fonts>
  <fills count="14">
    <fill>
      <patternFill patternType="none"/>
    </fill>
    <fill>
      <patternFill patternType="gray125"/>
    </fill>
    <fill>
      <patternFill patternType="solid">
        <fgColor rgb="FF4472C4"/>
        <bgColor rgb="FF5B9BD5"/>
      </patternFill>
    </fill>
    <fill>
      <patternFill patternType="solid">
        <fgColor rgb="FF5B9BD5"/>
        <bgColor rgb="FF4472C4"/>
      </patternFill>
    </fill>
    <fill>
      <patternFill patternType="solid">
        <fgColor rgb="FFF5F9FF"/>
        <bgColor rgb="FFF5F5F5"/>
      </patternFill>
    </fill>
    <fill>
      <patternFill patternType="solid">
        <fgColor rgb="FFEBF3FB"/>
        <bgColor rgb="FFF0F4FB"/>
      </patternFill>
    </fill>
    <fill>
      <patternFill patternType="solid">
        <fgColor rgb="FFFFFFFF"/>
        <bgColor rgb="FFF5F9FF"/>
      </patternFill>
    </fill>
    <fill>
      <patternFill patternType="solid">
        <fgColor rgb="FFF0F4FB"/>
        <bgColor rgb="FFEBF3FB"/>
      </patternFill>
    </fill>
    <fill>
      <patternFill patternType="solid">
        <fgColor rgb="FFF0F7EE"/>
        <bgColor rgb="FFF5F5F5"/>
      </patternFill>
    </fill>
    <fill>
      <patternFill patternType="solid">
        <fgColor rgb="FFFFFF00"/>
        <bgColor rgb="FFFFFF00"/>
      </patternFill>
    </fill>
    <fill>
      <patternFill patternType="solid">
        <fgColor rgb="FFFFFACC"/>
        <bgColor rgb="FFF0F7EE"/>
      </patternFill>
    </fill>
    <fill>
      <patternFill patternType="solid">
        <fgColor rgb="FFD9E1F2"/>
        <bgColor rgb="FFE2EFDA"/>
      </patternFill>
    </fill>
    <fill>
      <patternFill patternType="solid">
        <fgColor rgb="FFE2EFDA"/>
        <bgColor rgb="FFF0F7EE"/>
      </patternFill>
    </fill>
    <fill>
      <patternFill patternType="solid">
        <fgColor rgb="FFF5F5F5"/>
        <bgColor rgb="FFF0F4FB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/>
    </xf>
    <xf numFmtId="164" fontId="5" fillId="5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3" fontId="5" fillId="5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/>
    </xf>
    <xf numFmtId="9" fontId="5" fillId="5" borderId="1" xfId="0" applyNumberFormat="1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1" fontId="8" fillId="5" borderId="1" xfId="0" applyNumberFormat="1" applyFont="1" applyFill="1" applyBorder="1" applyAlignment="1">
      <alignment horizontal="center" vertical="center" wrapText="1"/>
    </xf>
    <xf numFmtId="1" fontId="4" fillId="8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1" fontId="8" fillId="9" borderId="1" xfId="0" applyNumberFormat="1" applyFont="1" applyFill="1" applyBorder="1" applyAlignment="1">
      <alignment horizontal="center" vertical="center" wrapText="1"/>
    </xf>
    <xf numFmtId="1" fontId="4" fillId="1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11" borderId="1" xfId="0" applyFont="1" applyFill="1" applyBorder="1" applyAlignment="1">
      <alignment horizontal="center" vertical="center" wrapText="1"/>
    </xf>
    <xf numFmtId="1" fontId="7" fillId="11" borderId="1" xfId="0" applyNumberFormat="1" applyFont="1" applyFill="1" applyBorder="1" applyAlignment="1">
      <alignment horizontal="center" vertical="center" wrapText="1"/>
    </xf>
    <xf numFmtId="1" fontId="4" fillId="6" borderId="1" xfId="0" applyNumberFormat="1" applyFont="1" applyFill="1" applyBorder="1" applyAlignment="1">
      <alignment horizontal="center" vertical="center" wrapText="1"/>
    </xf>
    <xf numFmtId="2" fontId="4" fillId="6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12" borderId="1" xfId="0" applyNumberFormat="1" applyFont="1" applyFill="1" applyBorder="1" applyAlignment="1">
      <alignment horizontal="center" vertical="center" wrapText="1"/>
    </xf>
    <xf numFmtId="164" fontId="4" fillId="12" borderId="1" xfId="0" applyNumberFormat="1" applyFont="1" applyFill="1" applyBorder="1" applyAlignment="1">
      <alignment horizontal="center" vertical="center" wrapText="1"/>
    </xf>
    <xf numFmtId="2" fontId="4" fillId="10" borderId="1" xfId="0" applyNumberFormat="1" applyFont="1" applyFill="1" applyBorder="1" applyAlignment="1">
      <alignment horizontal="center" vertical="center" wrapText="1"/>
    </xf>
    <xf numFmtId="164" fontId="4" fillId="10" borderId="1" xfId="0" applyNumberFormat="1" applyFont="1" applyFill="1" applyBorder="1" applyAlignment="1">
      <alignment horizontal="center" vertical="center" wrapText="1"/>
    </xf>
    <xf numFmtId="164" fontId="7" fillId="11" borderId="1" xfId="0" applyNumberFormat="1" applyFont="1" applyFill="1" applyBorder="1" applyAlignment="1">
      <alignment horizontal="center" vertical="center" wrapText="1"/>
    </xf>
    <xf numFmtId="2" fontId="7" fillId="11" borderId="1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left" vertical="center"/>
    </xf>
    <xf numFmtId="2" fontId="7" fillId="12" borderId="1" xfId="0" applyNumberFormat="1" applyFont="1" applyFill="1" applyBorder="1" applyAlignment="1">
      <alignment horizontal="center" vertical="center" wrapText="1"/>
    </xf>
    <xf numFmtId="3" fontId="7" fillId="12" borderId="1" xfId="0" applyNumberFormat="1" applyFont="1" applyFill="1" applyBorder="1" applyAlignment="1">
      <alignment horizontal="center" vertical="center" wrapText="1"/>
    </xf>
    <xf numFmtId="164" fontId="7" fillId="12" borderId="1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3" fontId="4" fillId="13" borderId="1" xfId="0" applyNumberFormat="1" applyFont="1" applyFill="1" applyBorder="1" applyAlignment="1">
      <alignment horizontal="center" vertical="center" wrapText="1"/>
    </xf>
    <xf numFmtId="164" fontId="4" fillId="13" borderId="1" xfId="0" applyNumberFormat="1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indent="1"/>
    </xf>
    <xf numFmtId="0" fontId="11" fillId="0" borderId="0" xfId="0" applyFont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8080"/>
      <rgbColor rgb="FFF5F9FF"/>
      <rgbColor rgb="FF808080"/>
      <rgbColor rgb="FF5B9BD5"/>
      <rgbColor rgb="FF993366"/>
      <rgbColor rgb="FFFFFACC"/>
      <rgbColor rgb="FFEBF3FB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7EE"/>
      <rgbColor rgb="FFE2EFDA"/>
      <rgbColor rgb="FFF5F5F5"/>
      <rgbColor rgb="FF99CCFF"/>
      <rgbColor rgb="FFFF99CC"/>
      <rgbColor rgb="FFCC99FF"/>
      <rgbColor rgb="FFF0F4FB"/>
      <rgbColor rgb="FF4472C4"/>
      <rgbColor rgb="FF33CCCC"/>
      <rgbColor rgb="FF99CC00"/>
      <rgbColor rgb="FFFFCC00"/>
      <rgbColor rgb="FFFF9900"/>
      <rgbColor rgb="FFCC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55555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zoomScaleNormal="100" workbookViewId="0">
      <selection activeCell="F19" sqref="F19"/>
    </sheetView>
  </sheetViews>
  <sheetFormatPr baseColWidth="10" defaultColWidth="8.69140625" defaultRowHeight="14.6" x14ac:dyDescent="0.4"/>
  <cols>
    <col min="1" max="1" width="26" customWidth="1"/>
    <col min="2" max="2" width="14" customWidth="1"/>
    <col min="3" max="3" width="20" customWidth="1"/>
    <col min="4" max="4" width="15" customWidth="1"/>
    <col min="5" max="5" width="18" customWidth="1"/>
    <col min="6" max="6" width="26" customWidth="1"/>
  </cols>
  <sheetData>
    <row r="1" spans="1:6" ht="30" customHeight="1" x14ac:dyDescent="0.4">
      <c r="A1" s="41" t="s">
        <v>0</v>
      </c>
      <c r="B1" s="41"/>
      <c r="C1" s="41"/>
      <c r="D1" s="41"/>
      <c r="E1" s="41"/>
      <c r="F1" s="41"/>
    </row>
    <row r="3" spans="1:6" ht="19.5" customHeight="1" x14ac:dyDescent="0.4">
      <c r="A3" s="42" t="s">
        <v>1</v>
      </c>
      <c r="B3" s="42"/>
      <c r="C3" s="42"/>
      <c r="D3" s="42"/>
      <c r="E3" s="42"/>
      <c r="F3" s="42"/>
    </row>
    <row r="4" spans="1:6" ht="18" customHeight="1" x14ac:dyDescent="0.4">
      <c r="A4" s="1" t="s">
        <v>2</v>
      </c>
      <c r="B4" s="1" t="s">
        <v>3</v>
      </c>
      <c r="C4" s="1" t="s">
        <v>4</v>
      </c>
      <c r="D4" s="1" t="s">
        <v>5</v>
      </c>
    </row>
    <row r="5" spans="1:6" ht="18" customHeight="1" x14ac:dyDescent="0.4">
      <c r="A5" s="2" t="s">
        <v>6</v>
      </c>
      <c r="B5" s="3">
        <v>2</v>
      </c>
      <c r="C5" s="4" t="s">
        <v>7</v>
      </c>
      <c r="D5" s="5" t="s">
        <v>8</v>
      </c>
    </row>
    <row r="6" spans="1:6" ht="18" customHeight="1" x14ac:dyDescent="0.4">
      <c r="A6" s="6" t="s">
        <v>9</v>
      </c>
      <c r="B6" s="7">
        <v>299</v>
      </c>
      <c r="C6" s="8" t="s">
        <v>10</v>
      </c>
      <c r="D6" s="9" t="s">
        <v>11</v>
      </c>
    </row>
    <row r="7" spans="1:6" ht="18" customHeight="1" x14ac:dyDescent="0.4">
      <c r="A7" s="2" t="s">
        <v>12</v>
      </c>
      <c r="B7" s="10">
        <v>0.9</v>
      </c>
      <c r="C7" s="4" t="s">
        <v>13</v>
      </c>
      <c r="D7" s="5" t="s">
        <v>14</v>
      </c>
    </row>
    <row r="8" spans="1:6" ht="18" customHeight="1" x14ac:dyDescent="0.4">
      <c r="A8" s="6" t="s">
        <v>15</v>
      </c>
      <c r="B8" s="11">
        <v>15</v>
      </c>
      <c r="C8" s="8" t="s">
        <v>16</v>
      </c>
      <c r="D8" s="9" t="s">
        <v>17</v>
      </c>
    </row>
    <row r="9" spans="1:6" ht="18" customHeight="1" x14ac:dyDescent="0.4">
      <c r="A9" s="2" t="s">
        <v>18</v>
      </c>
      <c r="B9" s="12">
        <v>0.31</v>
      </c>
      <c r="C9" s="4" t="s">
        <v>19</v>
      </c>
      <c r="D9" s="5" t="s">
        <v>20</v>
      </c>
    </row>
    <row r="10" spans="1:6" ht="18" customHeight="1" x14ac:dyDescent="0.4">
      <c r="A10" s="6" t="s">
        <v>21</v>
      </c>
      <c r="B10" s="10">
        <v>0.6</v>
      </c>
      <c r="C10" s="8" t="s">
        <v>13</v>
      </c>
      <c r="D10" s="9" t="s">
        <v>22</v>
      </c>
    </row>
    <row r="11" spans="1:6" ht="6" customHeight="1" x14ac:dyDescent="0.4"/>
    <row r="12" spans="1:6" ht="19.5" customHeight="1" x14ac:dyDescent="0.4">
      <c r="A12" s="42" t="s">
        <v>23</v>
      </c>
      <c r="B12" s="42"/>
      <c r="C12" s="42"/>
      <c r="D12" s="42"/>
      <c r="E12" s="42"/>
      <c r="F12" s="42"/>
    </row>
    <row r="13" spans="1:6" ht="39.75" customHeight="1" x14ac:dyDescent="0.4">
      <c r="A13" s="1" t="s">
        <v>24</v>
      </c>
      <c r="B13" s="1" t="s">
        <v>25</v>
      </c>
      <c r="C13" s="1" t="s">
        <v>26</v>
      </c>
      <c r="D13" s="1" t="s">
        <v>27</v>
      </c>
      <c r="E13" s="1" t="s">
        <v>28</v>
      </c>
      <c r="F13" s="1" t="s">
        <v>29</v>
      </c>
    </row>
    <row r="14" spans="1:6" ht="18" customHeight="1" x14ac:dyDescent="0.4">
      <c r="A14" s="13" t="s">
        <v>30</v>
      </c>
      <c r="B14" s="14">
        <v>24</v>
      </c>
      <c r="C14" s="14">
        <v>15</v>
      </c>
      <c r="D14" s="15">
        <f t="shared" ref="D14:D25" si="0">B14-C14</f>
        <v>9</v>
      </c>
      <c r="E14" s="14">
        <v>167</v>
      </c>
      <c r="F14" s="16" t="s">
        <v>31</v>
      </c>
    </row>
    <row r="15" spans="1:6" ht="18" customHeight="1" x14ac:dyDescent="0.4">
      <c r="A15" s="13" t="s">
        <v>32</v>
      </c>
      <c r="B15" s="14">
        <v>55</v>
      </c>
      <c r="C15" s="14">
        <v>27</v>
      </c>
      <c r="D15" s="15">
        <f t="shared" si="0"/>
        <v>28</v>
      </c>
      <c r="E15" s="14">
        <v>140</v>
      </c>
      <c r="F15" s="16" t="s">
        <v>33</v>
      </c>
    </row>
    <row r="16" spans="1:6" ht="18" customHeight="1" x14ac:dyDescent="0.4">
      <c r="A16" s="13" t="s">
        <v>34</v>
      </c>
      <c r="B16" s="14">
        <v>130</v>
      </c>
      <c r="C16" s="14">
        <v>43</v>
      </c>
      <c r="D16" s="15">
        <f t="shared" si="0"/>
        <v>87</v>
      </c>
      <c r="E16" s="14">
        <v>123</v>
      </c>
      <c r="F16" s="16" t="s">
        <v>35</v>
      </c>
    </row>
    <row r="17" spans="1:6" ht="18" customHeight="1" x14ac:dyDescent="0.4">
      <c r="A17" s="13" t="s">
        <v>36</v>
      </c>
      <c r="B17" s="14">
        <v>180</v>
      </c>
      <c r="C17" s="14">
        <v>50</v>
      </c>
      <c r="D17" s="15">
        <f t="shared" si="0"/>
        <v>130</v>
      </c>
      <c r="E17" s="14">
        <v>96</v>
      </c>
      <c r="F17" s="16" t="s">
        <v>37</v>
      </c>
    </row>
    <row r="18" spans="1:6" ht="18" customHeight="1" x14ac:dyDescent="0.4">
      <c r="A18" s="13" t="s">
        <v>38</v>
      </c>
      <c r="B18" s="14">
        <v>236</v>
      </c>
      <c r="C18" s="14">
        <v>66</v>
      </c>
      <c r="D18" s="15">
        <f t="shared" si="0"/>
        <v>170</v>
      </c>
      <c r="E18" s="14">
        <v>141</v>
      </c>
      <c r="F18" s="16" t="s">
        <v>79</v>
      </c>
    </row>
    <row r="19" spans="1:6" ht="18" customHeight="1" x14ac:dyDescent="0.4">
      <c r="A19" s="13" t="s">
        <v>40</v>
      </c>
      <c r="B19" s="17">
        <v>270</v>
      </c>
      <c r="C19" s="17">
        <v>55</v>
      </c>
      <c r="D19" s="18">
        <f t="shared" si="0"/>
        <v>215</v>
      </c>
      <c r="E19" s="17">
        <v>136</v>
      </c>
      <c r="F19" s="19" t="s">
        <v>39</v>
      </c>
    </row>
    <row r="20" spans="1:6" ht="18" customHeight="1" x14ac:dyDescent="0.4">
      <c r="A20" s="13" t="s">
        <v>41</v>
      </c>
      <c r="B20" s="17">
        <v>265</v>
      </c>
      <c r="C20" s="17">
        <v>55</v>
      </c>
      <c r="D20" s="18">
        <f t="shared" si="0"/>
        <v>210</v>
      </c>
      <c r="E20" s="17">
        <v>144</v>
      </c>
      <c r="F20" s="19" t="s">
        <v>39</v>
      </c>
    </row>
    <row r="21" spans="1:6" ht="18" customHeight="1" x14ac:dyDescent="0.4">
      <c r="A21" s="13" t="s">
        <v>42</v>
      </c>
      <c r="B21" s="17">
        <v>175</v>
      </c>
      <c r="C21" s="17">
        <v>48</v>
      </c>
      <c r="D21" s="18">
        <f t="shared" si="0"/>
        <v>127</v>
      </c>
      <c r="E21" s="17">
        <v>152</v>
      </c>
      <c r="F21" s="19" t="s">
        <v>39</v>
      </c>
    </row>
    <row r="22" spans="1:6" ht="18" customHeight="1" x14ac:dyDescent="0.4">
      <c r="A22" s="13" t="s">
        <v>43</v>
      </c>
      <c r="B22" s="14">
        <v>116</v>
      </c>
      <c r="C22" s="14">
        <v>39</v>
      </c>
      <c r="D22" s="15">
        <f t="shared" si="0"/>
        <v>77</v>
      </c>
      <c r="E22" s="14">
        <v>92</v>
      </c>
      <c r="F22" s="16" t="s">
        <v>44</v>
      </c>
    </row>
    <row r="23" spans="1:6" ht="18" customHeight="1" x14ac:dyDescent="0.4">
      <c r="A23" s="13" t="s">
        <v>45</v>
      </c>
      <c r="B23" s="14">
        <v>62</v>
      </c>
      <c r="C23" s="14">
        <v>30</v>
      </c>
      <c r="D23" s="15">
        <f t="shared" si="0"/>
        <v>32</v>
      </c>
      <c r="E23" s="14">
        <v>140</v>
      </c>
      <c r="F23" s="16" t="s">
        <v>44</v>
      </c>
    </row>
    <row r="24" spans="1:6" ht="18" customHeight="1" x14ac:dyDescent="0.4">
      <c r="A24" s="13" t="s">
        <v>46</v>
      </c>
      <c r="B24" s="14">
        <v>37</v>
      </c>
      <c r="C24" s="14">
        <v>18</v>
      </c>
      <c r="D24" s="15">
        <f t="shared" si="0"/>
        <v>19</v>
      </c>
      <c r="E24" s="14">
        <v>168</v>
      </c>
      <c r="F24" s="16" t="s">
        <v>44</v>
      </c>
    </row>
    <row r="25" spans="1:6" ht="18" customHeight="1" x14ac:dyDescent="0.4">
      <c r="A25" s="13" t="s">
        <v>47</v>
      </c>
      <c r="B25" s="14">
        <v>21</v>
      </c>
      <c r="C25" s="14">
        <v>13</v>
      </c>
      <c r="D25" s="15">
        <f t="shared" si="0"/>
        <v>8</v>
      </c>
      <c r="E25" s="14">
        <v>164</v>
      </c>
      <c r="F25" s="16" t="s">
        <v>44</v>
      </c>
    </row>
    <row r="26" spans="1:6" ht="19.5" customHeight="1" x14ac:dyDescent="0.4">
      <c r="A26" s="20" t="s">
        <v>48</v>
      </c>
      <c r="B26" s="21">
        <f>SUM(B14:B25)</f>
        <v>1571</v>
      </c>
      <c r="C26" s="21">
        <f>SUM(C14:C25)</f>
        <v>459</v>
      </c>
      <c r="D26" s="21">
        <f>SUM(D14:D25)</f>
        <v>1112</v>
      </c>
      <c r="E26" s="21">
        <f>SUM(E14:E25)</f>
        <v>1663</v>
      </c>
    </row>
    <row r="27" spans="1:6" x14ac:dyDescent="0.4">
      <c r="A27" s="43" t="s">
        <v>49</v>
      </c>
      <c r="B27" s="43"/>
      <c r="C27" s="43"/>
      <c r="D27" s="43"/>
      <c r="E27" s="43"/>
      <c r="F27" s="43"/>
    </row>
  </sheetData>
  <mergeCells count="4">
    <mergeCell ref="A1:F1"/>
    <mergeCell ref="A3:F3"/>
    <mergeCell ref="A12:F12"/>
    <mergeCell ref="A27:F27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Normal="100" workbookViewId="0">
      <selection activeCell="C9" sqref="C9"/>
    </sheetView>
  </sheetViews>
  <sheetFormatPr baseColWidth="10" defaultColWidth="8.69140625" defaultRowHeight="14.6" x14ac:dyDescent="0.4"/>
  <cols>
    <col min="1" max="1" width="33.23046875" bestFit="1" customWidth="1"/>
    <col min="2" max="2" width="14" customWidth="1"/>
    <col min="3" max="3" width="16" customWidth="1"/>
    <col min="4" max="4" width="18" customWidth="1"/>
    <col min="5" max="5" width="16" customWidth="1"/>
    <col min="6" max="6" width="20" customWidth="1"/>
    <col min="7" max="7" width="18" customWidth="1"/>
    <col min="8" max="8" width="20" customWidth="1"/>
    <col min="9" max="9" width="14" customWidth="1"/>
    <col min="10" max="10" width="20" customWidth="1"/>
  </cols>
  <sheetData>
    <row r="1" spans="1:10" ht="27.75" customHeight="1" x14ac:dyDescent="0.4">
      <c r="A1" s="44" t="s">
        <v>50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6" customHeight="1" x14ac:dyDescent="0.4"/>
    <row r="3" spans="1:10" ht="19.5" customHeight="1" x14ac:dyDescent="0.4">
      <c r="A3" s="42" t="s">
        <v>51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ht="48" customHeight="1" x14ac:dyDescent="0.4">
      <c r="A4" s="1" t="s">
        <v>24</v>
      </c>
      <c r="B4" s="1" t="s">
        <v>52</v>
      </c>
      <c r="C4" s="1" t="s">
        <v>53</v>
      </c>
      <c r="D4" s="1" t="s">
        <v>54</v>
      </c>
      <c r="E4" s="1" t="s">
        <v>55</v>
      </c>
      <c r="F4" s="1" t="s">
        <v>56</v>
      </c>
      <c r="G4" s="1" t="s">
        <v>57</v>
      </c>
      <c r="H4" s="1" t="s">
        <v>58</v>
      </c>
      <c r="I4" s="1" t="s">
        <v>59</v>
      </c>
      <c r="J4" s="1" t="s">
        <v>60</v>
      </c>
    </row>
    <row r="5" spans="1:10" ht="18" customHeight="1" x14ac:dyDescent="0.4">
      <c r="A5" s="13" t="str">
        <f>Eingabe!A14</f>
        <v>Jan</v>
      </c>
      <c r="B5" s="22">
        <f>Eingabe!D14</f>
        <v>9</v>
      </c>
      <c r="C5" s="23">
        <f>B5/31</f>
        <v>0.29032258064516131</v>
      </c>
      <c r="D5" s="24">
        <f>MIN(C5,Eingabe!$B$5)</f>
        <v>0.29032258064516131</v>
      </c>
      <c r="E5" s="24">
        <f>D5*Eingabe!$B$7</f>
        <v>0.26129032258064516</v>
      </c>
      <c r="F5" s="23">
        <f>(Eingabe!E14-Eingabe!C14)/31</f>
        <v>4.903225806451613</v>
      </c>
      <c r="G5" s="25">
        <f>MIN(E5,F5)*Eingabe!$B$10</f>
        <v>0.15677419354838709</v>
      </c>
      <c r="H5" s="26">
        <f>G5*31</f>
        <v>4.8599999999999994</v>
      </c>
      <c r="I5" s="25">
        <f>H5*Eingabe!$B$9</f>
        <v>1.5065999999999997</v>
      </c>
      <c r="J5" s="16" t="s">
        <v>61</v>
      </c>
    </row>
    <row r="6" spans="1:10" ht="18" customHeight="1" x14ac:dyDescent="0.4">
      <c r="A6" s="13" t="str">
        <f>Eingabe!A15</f>
        <v>Feb</v>
      </c>
      <c r="B6" s="22">
        <f>Eingabe!D15</f>
        <v>28</v>
      </c>
      <c r="C6" s="23">
        <f>B6/28</f>
        <v>1</v>
      </c>
      <c r="D6" s="24">
        <f>MIN(C6,Eingabe!$B$5)</f>
        <v>1</v>
      </c>
      <c r="E6" s="24">
        <f>D6*Eingabe!$B$7</f>
        <v>0.9</v>
      </c>
      <c r="F6" s="23">
        <f>(Eingabe!E15-Eingabe!C15)/28</f>
        <v>4.0357142857142856</v>
      </c>
      <c r="G6" s="25">
        <f>MIN(E6,F6)*Eingabe!$B$10</f>
        <v>0.54</v>
      </c>
      <c r="H6" s="26">
        <f>G6*28</f>
        <v>15.120000000000001</v>
      </c>
      <c r="I6" s="25">
        <f>H6*Eingabe!$B$9</f>
        <v>4.6872000000000007</v>
      </c>
      <c r="J6" s="16" t="s">
        <v>61</v>
      </c>
    </row>
    <row r="7" spans="1:10" ht="18" customHeight="1" x14ac:dyDescent="0.4">
      <c r="A7" s="13" t="str">
        <f>Eingabe!A16</f>
        <v>Mär</v>
      </c>
      <c r="B7" s="22">
        <f>Eingabe!D16</f>
        <v>87</v>
      </c>
      <c r="C7" s="23">
        <f>B7/31</f>
        <v>2.806451612903226</v>
      </c>
      <c r="D7" s="24">
        <f>MIN(C7,Eingabe!$B$5)</f>
        <v>2</v>
      </c>
      <c r="E7" s="24">
        <f>D7*Eingabe!$B$7</f>
        <v>1.8</v>
      </c>
      <c r="F7" s="23">
        <f>(Eingabe!E16-Eingabe!C16)/31</f>
        <v>2.5806451612903225</v>
      </c>
      <c r="G7" s="25">
        <f>MIN(E7,F7)*Eingabe!$B$10</f>
        <v>1.08</v>
      </c>
      <c r="H7" s="26">
        <f>G7*31</f>
        <v>33.480000000000004</v>
      </c>
      <c r="I7" s="25">
        <f>H7*Eingabe!$B$9</f>
        <v>10.378800000000002</v>
      </c>
      <c r="J7" s="16" t="s">
        <v>61</v>
      </c>
    </row>
    <row r="8" spans="1:10" ht="18" customHeight="1" x14ac:dyDescent="0.4">
      <c r="A8" s="13" t="str">
        <f>Eingabe!A17</f>
        <v>Apr</v>
      </c>
      <c r="B8" s="22">
        <f>Eingabe!D17</f>
        <v>130</v>
      </c>
      <c r="C8" s="23">
        <f>B8/30</f>
        <v>4.333333333333333</v>
      </c>
      <c r="D8" s="24">
        <f>MIN(C8,Eingabe!$B$5)</f>
        <v>2</v>
      </c>
      <c r="E8" s="24">
        <f>D8*Eingabe!$B$7</f>
        <v>1.8</v>
      </c>
      <c r="F8" s="23">
        <f>(Eingabe!E17-Eingabe!C17)/30</f>
        <v>1.5333333333333334</v>
      </c>
      <c r="G8" s="25">
        <f>MIN(E8,F8)*Eingabe!$B$10</f>
        <v>0.92</v>
      </c>
      <c r="H8" s="26">
        <f>G8*30</f>
        <v>27.6</v>
      </c>
      <c r="I8" s="25">
        <f>H8*Eingabe!$B$9</f>
        <v>8.5560000000000009</v>
      </c>
      <c r="J8" s="16" t="s">
        <v>61</v>
      </c>
    </row>
    <row r="9" spans="1:10" ht="18" customHeight="1" x14ac:dyDescent="0.4">
      <c r="A9" s="13" t="str">
        <f>Eingabe!A18</f>
        <v>Mai</v>
      </c>
      <c r="B9" s="22">
        <f>Eingabe!D18</f>
        <v>170</v>
      </c>
      <c r="C9" s="23">
        <f>B9/31</f>
        <v>5.4838709677419351</v>
      </c>
      <c r="D9" s="24">
        <f>MIN(C9,Eingabe!$B$5)</f>
        <v>2</v>
      </c>
      <c r="E9" s="24">
        <f>D9*Eingabe!$B$7</f>
        <v>1.8</v>
      </c>
      <c r="F9" s="23">
        <f>(Eingabe!E18-Eingabe!C18)/31</f>
        <v>2.4193548387096775</v>
      </c>
      <c r="G9" s="25">
        <f>MIN(E9,F9)*Eingabe!$B$10</f>
        <v>1.08</v>
      </c>
      <c r="H9" s="26">
        <f>G9*31</f>
        <v>33.480000000000004</v>
      </c>
      <c r="I9" s="25">
        <f>H9*Eingabe!$B$9</f>
        <v>10.378800000000002</v>
      </c>
      <c r="J9" s="16" t="s">
        <v>61</v>
      </c>
    </row>
    <row r="10" spans="1:10" ht="18" customHeight="1" x14ac:dyDescent="0.4">
      <c r="A10" s="13" t="str">
        <f>Eingabe!A19</f>
        <v>Jun</v>
      </c>
      <c r="B10" s="18">
        <f>Eingabe!D19</f>
        <v>215</v>
      </c>
      <c r="C10" s="27">
        <f>B10/30</f>
        <v>7.166666666666667</v>
      </c>
      <c r="D10" s="24">
        <f>MIN(C10,Eingabe!$B$5)</f>
        <v>2</v>
      </c>
      <c r="E10" s="24">
        <f>D10*Eingabe!$B$7</f>
        <v>1.8</v>
      </c>
      <c r="F10" s="27">
        <f>(Eingabe!E19-Eingabe!C19)/30</f>
        <v>2.7</v>
      </c>
      <c r="G10" s="25">
        <f>MIN(E10,F10)*Eingabe!$B$10</f>
        <v>1.08</v>
      </c>
      <c r="H10" s="28">
        <f>G10*30</f>
        <v>32.400000000000006</v>
      </c>
      <c r="I10" s="27">
        <f>H10*Eingabe!$B$9</f>
        <v>10.044000000000002</v>
      </c>
      <c r="J10" s="19" t="s">
        <v>39</v>
      </c>
    </row>
    <row r="11" spans="1:10" ht="18" customHeight="1" x14ac:dyDescent="0.4">
      <c r="A11" s="13" t="str">
        <f>Eingabe!A20</f>
        <v>Jul</v>
      </c>
      <c r="B11" s="18">
        <f>Eingabe!D20</f>
        <v>210</v>
      </c>
      <c r="C11" s="27">
        <f>B11/31</f>
        <v>6.774193548387097</v>
      </c>
      <c r="D11" s="24">
        <f>MIN(C11,Eingabe!$B$5)</f>
        <v>2</v>
      </c>
      <c r="E11" s="24">
        <f>D11*Eingabe!$B$7</f>
        <v>1.8</v>
      </c>
      <c r="F11" s="27">
        <f>(Eingabe!E20-Eingabe!C20)/31</f>
        <v>2.870967741935484</v>
      </c>
      <c r="G11" s="25">
        <f>MIN(E11,F11)*Eingabe!$B$10</f>
        <v>1.08</v>
      </c>
      <c r="H11" s="28">
        <f>G11*31</f>
        <v>33.480000000000004</v>
      </c>
      <c r="I11" s="27">
        <f>H11*Eingabe!$B$9</f>
        <v>10.378800000000002</v>
      </c>
      <c r="J11" s="19" t="s">
        <v>39</v>
      </c>
    </row>
    <row r="12" spans="1:10" ht="18" customHeight="1" x14ac:dyDescent="0.4">
      <c r="A12" s="13" t="str">
        <f>Eingabe!A21</f>
        <v>Aug</v>
      </c>
      <c r="B12" s="18">
        <f>Eingabe!D21</f>
        <v>127</v>
      </c>
      <c r="C12" s="27">
        <f>B12/31</f>
        <v>4.096774193548387</v>
      </c>
      <c r="D12" s="24">
        <f>MIN(C12,Eingabe!$B$5)</f>
        <v>2</v>
      </c>
      <c r="E12" s="24">
        <f>D12*Eingabe!$B$7</f>
        <v>1.8</v>
      </c>
      <c r="F12" s="27">
        <f>(Eingabe!E21-Eingabe!C21)/31</f>
        <v>3.3548387096774195</v>
      </c>
      <c r="G12" s="25">
        <f>MIN(E12,F12)*Eingabe!$B$10</f>
        <v>1.08</v>
      </c>
      <c r="H12" s="28">
        <f>G12*31</f>
        <v>33.480000000000004</v>
      </c>
      <c r="I12" s="27">
        <f>H12*Eingabe!$B$9</f>
        <v>10.378800000000002</v>
      </c>
      <c r="J12" s="19" t="s">
        <v>39</v>
      </c>
    </row>
    <row r="13" spans="1:10" ht="18" customHeight="1" x14ac:dyDescent="0.4">
      <c r="A13" s="13" t="str">
        <f>Eingabe!A22</f>
        <v>Sep</v>
      </c>
      <c r="B13" s="22">
        <f>Eingabe!D22</f>
        <v>77</v>
      </c>
      <c r="C13" s="23">
        <f>B13/30</f>
        <v>2.5666666666666669</v>
      </c>
      <c r="D13" s="24">
        <f>MIN(C13,Eingabe!$B$5)</f>
        <v>2</v>
      </c>
      <c r="E13" s="24">
        <f>D13*Eingabe!$B$7</f>
        <v>1.8</v>
      </c>
      <c r="F13" s="23">
        <f>(Eingabe!E22-Eingabe!C22)/30</f>
        <v>1.7666666666666666</v>
      </c>
      <c r="G13" s="25">
        <f>MIN(E13,F13)*Eingabe!$B$10</f>
        <v>1.0599999999999998</v>
      </c>
      <c r="H13" s="26">
        <f>G13*30</f>
        <v>31.799999999999994</v>
      </c>
      <c r="I13" s="25">
        <f>H13*Eingabe!$B$9</f>
        <v>9.8579999999999988</v>
      </c>
      <c r="J13" s="16" t="s">
        <v>62</v>
      </c>
    </row>
    <row r="14" spans="1:10" ht="18" customHeight="1" x14ac:dyDescent="0.4">
      <c r="A14" s="13" t="str">
        <f>Eingabe!A23</f>
        <v>Okt</v>
      </c>
      <c r="B14" s="22">
        <f>Eingabe!D23</f>
        <v>32</v>
      </c>
      <c r="C14" s="23">
        <f>B14/31</f>
        <v>1.032258064516129</v>
      </c>
      <c r="D14" s="24">
        <f>MIN(C14,Eingabe!$B$5)</f>
        <v>1.032258064516129</v>
      </c>
      <c r="E14" s="24">
        <f>D14*Eingabe!$B$7</f>
        <v>0.92903225806451617</v>
      </c>
      <c r="F14" s="23">
        <f>(Eingabe!E23-Eingabe!C23)/31</f>
        <v>3.5483870967741935</v>
      </c>
      <c r="G14" s="25">
        <f>MIN(E14,F14)*Eingabe!$B$10</f>
        <v>0.55741935483870964</v>
      </c>
      <c r="H14" s="26">
        <f>G14*31</f>
        <v>17.279999999999998</v>
      </c>
      <c r="I14" s="25">
        <f>H14*Eingabe!$B$9</f>
        <v>5.3567999999999989</v>
      </c>
      <c r="J14" s="16" t="s">
        <v>62</v>
      </c>
    </row>
    <row r="15" spans="1:10" ht="18" customHeight="1" x14ac:dyDescent="0.4">
      <c r="A15" s="13" t="str">
        <f>Eingabe!A24</f>
        <v>Nov</v>
      </c>
      <c r="B15" s="22">
        <f>Eingabe!D24</f>
        <v>19</v>
      </c>
      <c r="C15" s="23">
        <f>B15/30</f>
        <v>0.6333333333333333</v>
      </c>
      <c r="D15" s="24">
        <f>MIN(C15,Eingabe!$B$5)</f>
        <v>0.6333333333333333</v>
      </c>
      <c r="E15" s="24">
        <f>D15*Eingabe!$B$7</f>
        <v>0.56999999999999995</v>
      </c>
      <c r="F15" s="23">
        <f>(Eingabe!E24-Eingabe!C24)/30</f>
        <v>5</v>
      </c>
      <c r="G15" s="25">
        <f>MIN(E15,F15)*Eingabe!$B$10</f>
        <v>0.34199999999999997</v>
      </c>
      <c r="H15" s="26">
        <f>G15*30</f>
        <v>10.26</v>
      </c>
      <c r="I15" s="25">
        <f>H15*Eingabe!$B$9</f>
        <v>3.1806000000000001</v>
      </c>
      <c r="J15" s="16" t="s">
        <v>62</v>
      </c>
    </row>
    <row r="16" spans="1:10" ht="18" customHeight="1" x14ac:dyDescent="0.4">
      <c r="A16" s="13" t="str">
        <f>Eingabe!A25</f>
        <v>Dez</v>
      </c>
      <c r="B16" s="22">
        <f>Eingabe!D25</f>
        <v>8</v>
      </c>
      <c r="C16" s="23">
        <f>B16/31</f>
        <v>0.25806451612903225</v>
      </c>
      <c r="D16" s="24">
        <f>MIN(C16,Eingabe!$B$5)</f>
        <v>0.25806451612903225</v>
      </c>
      <c r="E16" s="24">
        <f>D16*Eingabe!$B$7</f>
        <v>0.23225806451612904</v>
      </c>
      <c r="F16" s="23">
        <f>(Eingabe!E25-Eingabe!C25)/31</f>
        <v>4.870967741935484</v>
      </c>
      <c r="G16" s="25">
        <f>MIN(E16,F16)*Eingabe!$B$10</f>
        <v>0.13935483870967741</v>
      </c>
      <c r="H16" s="26">
        <f>G16*31</f>
        <v>4.3199999999999994</v>
      </c>
      <c r="I16" s="25">
        <f>H16*Eingabe!$B$9</f>
        <v>1.3391999999999997</v>
      </c>
      <c r="J16" s="16" t="s">
        <v>62</v>
      </c>
    </row>
    <row r="17" spans="1:9" ht="21.75" customHeight="1" x14ac:dyDescent="0.4">
      <c r="A17" s="20" t="s">
        <v>63</v>
      </c>
      <c r="B17" s="21">
        <f>SUM(B5:B16)</f>
        <v>1112</v>
      </c>
      <c r="H17" s="29">
        <f>SUM(H5:H16)</f>
        <v>277.56</v>
      </c>
      <c r="I17" s="30">
        <f>SUM(I5:I16)</f>
        <v>86.043600000000012</v>
      </c>
    </row>
    <row r="18" spans="1:9" ht="7.5" customHeight="1" x14ac:dyDescent="0.4"/>
    <row r="19" spans="1:9" ht="19.5" customHeight="1" x14ac:dyDescent="0.4">
      <c r="A19" s="42" t="s">
        <v>64</v>
      </c>
      <c r="B19" s="42"/>
      <c r="C19" s="42"/>
      <c r="D19" s="42"/>
      <c r="E19" s="42"/>
    </row>
    <row r="20" spans="1:9" ht="18" customHeight="1" x14ac:dyDescent="0.4">
      <c r="A20" s="1" t="s">
        <v>65</v>
      </c>
      <c r="B20" s="1" t="s">
        <v>3</v>
      </c>
    </row>
    <row r="21" spans="1:9" ht="18" customHeight="1" x14ac:dyDescent="0.4">
      <c r="A21" s="2" t="s">
        <v>66</v>
      </c>
      <c r="B21" s="31">
        <f>SUM(Eingabe!C14:C25)</f>
        <v>459</v>
      </c>
    </row>
    <row r="22" spans="1:9" ht="18" customHeight="1" x14ac:dyDescent="0.4">
      <c r="A22" s="6" t="s">
        <v>67</v>
      </c>
      <c r="B22" s="23">
        <f>B21*Eingabe!$B$9</f>
        <v>142.29</v>
      </c>
    </row>
    <row r="23" spans="1:9" ht="18" customHeight="1" x14ac:dyDescent="0.4">
      <c r="A23" s="2" t="s">
        <v>68</v>
      </c>
      <c r="B23" s="32">
        <f>H17</f>
        <v>277.56</v>
      </c>
    </row>
    <row r="24" spans="1:9" ht="18" customHeight="1" x14ac:dyDescent="0.4">
      <c r="A24" s="33" t="s">
        <v>69</v>
      </c>
      <c r="B24" s="34">
        <f>I17</f>
        <v>86.043600000000012</v>
      </c>
    </row>
    <row r="25" spans="1:9" ht="18" customHeight="1" x14ac:dyDescent="0.4">
      <c r="A25" s="33" t="s">
        <v>9</v>
      </c>
      <c r="B25" s="35">
        <f>Eingabe!$B$6</f>
        <v>299</v>
      </c>
    </row>
    <row r="26" spans="1:9" ht="18" customHeight="1" x14ac:dyDescent="0.4">
      <c r="A26" s="33" t="s">
        <v>70</v>
      </c>
      <c r="B26" s="36">
        <f>IFERROR(B25/B24,"–")</f>
        <v>3.4749824507575227</v>
      </c>
    </row>
    <row r="27" spans="1:9" ht="18" customHeight="1" x14ac:dyDescent="0.4">
      <c r="A27" s="2" t="s">
        <v>71</v>
      </c>
      <c r="B27" s="37">
        <f>B24*Eingabe!$B$8</f>
        <v>1290.6540000000002</v>
      </c>
    </row>
    <row r="28" spans="1:9" ht="18" customHeight="1" x14ac:dyDescent="0.4">
      <c r="A28" s="33" t="s">
        <v>72</v>
      </c>
      <c r="B28" s="35">
        <f>B27-B25</f>
        <v>991.65400000000022</v>
      </c>
    </row>
    <row r="29" spans="1:9" ht="7.5" customHeight="1" x14ac:dyDescent="0.4"/>
    <row r="31" spans="1:9" ht="19.5" customHeight="1" x14ac:dyDescent="0.4">
      <c r="A31" s="42" t="s">
        <v>73</v>
      </c>
      <c r="B31" s="42"/>
      <c r="C31" s="42"/>
      <c r="D31" s="42"/>
      <c r="E31" s="42"/>
    </row>
    <row r="32" spans="1:9" ht="28.3" customHeight="1" x14ac:dyDescent="0.4">
      <c r="A32" s="1" t="s">
        <v>74</v>
      </c>
      <c r="B32" s="1" t="s">
        <v>75</v>
      </c>
      <c r="C32" s="1" t="s">
        <v>76</v>
      </c>
      <c r="D32" s="1" t="s">
        <v>77</v>
      </c>
    </row>
    <row r="33" spans="1:10" ht="18" customHeight="1" x14ac:dyDescent="0.4">
      <c r="A33" s="38">
        <v>300</v>
      </c>
      <c r="B33" s="25">
        <f>B24</f>
        <v>86.043600000000012</v>
      </c>
      <c r="C33" s="39">
        <f>IFERROR(300/B24,"–")</f>
        <v>3.4866044656429991</v>
      </c>
      <c r="D33" s="40" t="str">
        <f>IFERROR(IF(300/B24&lt;=8,"✅ Gut (≤8 J.)",IF(300/B24&lt;=12,"⚠  Grenzwertig (8–12 J.)","❌  Zu teuer (&gt;12 J.)")),"–")</f>
        <v>✅ Gut (≤8 J.)</v>
      </c>
    </row>
    <row r="34" spans="1:10" ht="18" customHeight="1" x14ac:dyDescent="0.4">
      <c r="A34" s="38">
        <v>400</v>
      </c>
      <c r="B34" s="25">
        <f>B24</f>
        <v>86.043600000000012</v>
      </c>
      <c r="C34" s="39">
        <f>IFERROR(400/B24,"–")</f>
        <v>4.6488059541906654</v>
      </c>
      <c r="D34" s="40" t="str">
        <f>IFERROR(IF(400/B24&lt;=8,"✅ Gut (≤8 J.)",IF(400/B24&lt;=12,"⚠  Grenzwertig (8–12 J.)","❌  Zu teuer (&gt;12 J.)")),"–")</f>
        <v>✅ Gut (≤8 J.)</v>
      </c>
    </row>
    <row r="35" spans="1:10" ht="18" customHeight="1" x14ac:dyDescent="0.4">
      <c r="A35" s="38">
        <v>500</v>
      </c>
      <c r="B35" s="25">
        <f>B24</f>
        <v>86.043600000000012</v>
      </c>
      <c r="C35" s="39">
        <f>IFERROR(500/B24,"–")</f>
        <v>5.8110074427383323</v>
      </c>
      <c r="D35" s="40" t="str">
        <f>IFERROR(IF(500/B24&lt;=8,"✅ Gut (≤8 J.)",IF(500/B24&lt;=12,"⚠  Grenzwertig (8–12 J.)","❌  Zu teuer (&gt;12 J.)")),"–")</f>
        <v>✅ Gut (≤8 J.)</v>
      </c>
    </row>
    <row r="36" spans="1:10" ht="18" customHeight="1" x14ac:dyDescent="0.4">
      <c r="A36" s="38">
        <v>600</v>
      </c>
      <c r="B36" s="25">
        <f>B24</f>
        <v>86.043600000000012</v>
      </c>
      <c r="C36" s="39">
        <f>IFERROR(600/B24,"–")</f>
        <v>6.9732089312859982</v>
      </c>
      <c r="D36" s="40" t="str">
        <f>IFERROR(IF(600/B24&lt;=8,"✅ Gut (≤8 J.)",IF(600/B24&lt;=12,"⚠  Grenzwertig (8–12 J.)","❌  Zu teuer (&gt;12 J.)")),"–")</f>
        <v>✅ Gut (≤8 J.)</v>
      </c>
    </row>
    <row r="37" spans="1:10" ht="18" customHeight="1" x14ac:dyDescent="0.4">
      <c r="A37" s="38">
        <v>700</v>
      </c>
      <c r="B37" s="25">
        <f>B24</f>
        <v>86.043600000000012</v>
      </c>
      <c r="C37" s="39">
        <f>IFERROR(700/B24,"–")</f>
        <v>8.135410419833665</v>
      </c>
      <c r="D37" s="40" t="str">
        <f>IFERROR(IF(700/B24&lt;=8,"✅ Gut (≤8 J.)",IF(700/B24&lt;=12,"⚠  Grenzwertig (8–12 J.)","❌  Zu teuer (&gt;12 J.)")),"–")</f>
        <v>⚠  Grenzwertig (8–12 J.)</v>
      </c>
    </row>
    <row r="38" spans="1:10" ht="18" customHeight="1" x14ac:dyDescent="0.4">
      <c r="A38" s="38">
        <v>800</v>
      </c>
      <c r="B38" s="25">
        <f>B24</f>
        <v>86.043600000000012</v>
      </c>
      <c r="C38" s="39">
        <f>IFERROR(800/B24,"–")</f>
        <v>9.2976119083813309</v>
      </c>
      <c r="D38" s="40" t="str">
        <f>IFERROR(IF(800/B24&lt;=8,"✅ Gut (≤8 J.)",IF(800/B24&lt;=12,"⚠  Grenzwertig (8–12 J.)","❌  Zu teuer (&gt;12 J.)")),"–")</f>
        <v>⚠  Grenzwertig (8–12 J.)</v>
      </c>
    </row>
    <row r="39" spans="1:10" ht="18" customHeight="1" x14ac:dyDescent="0.4">
      <c r="A39" s="38">
        <v>900</v>
      </c>
      <c r="B39" s="25">
        <f>B24</f>
        <v>86.043600000000012</v>
      </c>
      <c r="C39" s="39">
        <f>IFERROR(900/B24,"–")</f>
        <v>10.459813396928997</v>
      </c>
      <c r="D39" s="40" t="str">
        <f>IFERROR(IF(900/B24&lt;=8,"✅ Gut (≤8 J.)",IF(900/B24&lt;=12,"⚠  Grenzwertig (8–12 J.)","❌  Zu teuer (&gt;12 J.)")),"–")</f>
        <v>⚠  Grenzwertig (8–12 J.)</v>
      </c>
    </row>
    <row r="40" spans="1:10" ht="18" customHeight="1" x14ac:dyDescent="0.4">
      <c r="A40" s="38">
        <v>1000</v>
      </c>
      <c r="B40" s="25">
        <f>B24</f>
        <v>86.043600000000012</v>
      </c>
      <c r="C40" s="39">
        <f>IFERROR(1000/B24,"–")</f>
        <v>11.622014885476665</v>
      </c>
      <c r="D40" s="40" t="str">
        <f>IFERROR(IF(1000/B24&lt;=8,"✅ Gut (≤8 J.)",IF(1000/B24&lt;=12,"⚠  Grenzwertig (8–12 J.)","❌  Zu teuer (&gt;12 J.)")),"–")</f>
        <v>⚠  Grenzwertig (8–12 J.)</v>
      </c>
    </row>
    <row r="41" spans="1:10" ht="18" customHeight="1" x14ac:dyDescent="0.4">
      <c r="A41" s="38">
        <v>1200</v>
      </c>
      <c r="B41" s="25">
        <f>B24</f>
        <v>86.043600000000012</v>
      </c>
      <c r="C41" s="39">
        <f>IFERROR(1200/B24,"–")</f>
        <v>13.946417862571996</v>
      </c>
      <c r="D41" s="40" t="str">
        <f>IFERROR(IF(1200/B24&lt;=8,"✅ Gut (≤8 J.)",IF(1200/B24&lt;=12,"⚠  Grenzwertig (8–12 J.)","❌  Zu teuer (&gt;12 J.)")),"–")</f>
        <v>❌  Zu teuer (&gt;12 J.)</v>
      </c>
    </row>
    <row r="43" spans="1:10" x14ac:dyDescent="0.4">
      <c r="A43" s="43" t="s">
        <v>78</v>
      </c>
      <c r="B43" s="43"/>
      <c r="C43" s="43"/>
      <c r="D43" s="43"/>
      <c r="E43" s="43"/>
      <c r="F43" s="43"/>
      <c r="G43" s="43"/>
      <c r="H43" s="43"/>
      <c r="I43" s="43"/>
      <c r="J43" s="43"/>
    </row>
  </sheetData>
  <mergeCells count="5">
    <mergeCell ref="A1:J1"/>
    <mergeCell ref="A3:J3"/>
    <mergeCell ref="A19:E19"/>
    <mergeCell ref="A31:E31"/>
    <mergeCell ref="A43:J43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Eingabe</vt:lpstr>
      <vt:lpstr>Auswertung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Michael</cp:lastModifiedBy>
  <cp:revision>0</cp:revision>
  <dcterms:created xsi:type="dcterms:W3CDTF">2026-05-01T15:59:35Z</dcterms:created>
  <dcterms:modified xsi:type="dcterms:W3CDTF">2026-06-09T08:25:59Z</dcterms:modified>
  <dc:language>en-US</dc:language>
</cp:coreProperties>
</file>